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2760" yWindow="32760" windowWidth="23040" windowHeight="8565" tabRatio="266" activeTab="0"/>
  </bookViews>
  <sheets>
    <sheet name="דוח תקציב" sheetId="1" r:id="rId1"/>
    <sheet name="שווי מתנדבים" sheetId="2" r:id="rId2"/>
    <sheet name="גיליון2" sheetId="3" r:id="rId3"/>
    <sheet name="גיליון1" sheetId="4" r:id="rId4"/>
    <sheet name="גיליון3" sheetId="5" r:id="rId5"/>
    <sheet name="בדיקה" sheetId="6" r:id="rId6"/>
  </sheets>
  <definedNames>
    <definedName name="_xlnm._FilterDatabase" localSheetId="5" hidden="1">'בדיקה'!$A$3:$D$100</definedName>
    <definedName name="_xlnm._FilterDatabase" localSheetId="3" hidden="1">'גיליון1'!$A$2:$C$973</definedName>
    <definedName name="_xlnm._FilterDatabase" localSheetId="2" hidden="1">'גיליון2'!$A$4:$M$809</definedName>
    <definedName name="_xlnm._FilterDatabase" localSheetId="4" hidden="1">'גיליון3'!$M$14:$N$432</definedName>
    <definedName name="_xlfn.IFERROR" hidden="1">#NAME?</definedName>
    <definedName name="_xlnm.Print_Area" localSheetId="0">'דוח תקציב'!$A$2:$H$71</definedName>
    <definedName name="_xlnm.Print_Titles" localSheetId="0">'דוח תקציב'!$2:$4</definedName>
    <definedName name="מס_מרכבה">#REF!</definedName>
    <definedName name="מס_תאגיד">#REF!</definedName>
    <definedName name="מספר_עמותה">'גיליון2'!$B$5:$B$1136</definedName>
    <definedName name="שולם_בפועל_ב_19">'גיליון2'!$E$5:$E$1136</definedName>
    <definedName name="שולם_עד_P">'גיליון2'!$L$5:$L$1019</definedName>
    <definedName name="שולמה_מקדמה_עד_1.7.20">'גיליון2'!$F$5:$F$1136</definedName>
    <definedName name="שם_עמותה">'גיליון2'!$C$5:$C$1136</definedName>
    <definedName name="שם_תאגיד">#REF!</definedName>
    <definedName name="תמיכה_2020_לפי_המודל">'גיליון2'!$H$5:$H$1136</definedName>
    <definedName name="תשלום_בפועל_יולי_2020">'גיליון2'!$K$5:$K$1136</definedName>
  </definedNames>
  <calcPr fullCalcOnLoad="1"/>
</workbook>
</file>

<file path=xl/sharedStrings.xml><?xml version="1.0" encoding="utf-8"?>
<sst xmlns="http://schemas.openxmlformats.org/spreadsheetml/2006/main" count="2135" uniqueCount="1121">
  <si>
    <t>אחוז ביצוע</t>
  </si>
  <si>
    <t>סה"כ הכנסות:</t>
  </si>
  <si>
    <t>תאריך:</t>
  </si>
  <si>
    <t>הכנסות ציבוריות נתמכות</t>
  </si>
  <si>
    <t>סה"כ הכנסות ציבוריות נתמכות:</t>
  </si>
  <si>
    <t>הכנסות</t>
  </si>
  <si>
    <t>הוצאות פעילות נתמכת</t>
  </si>
  <si>
    <t>סה"כ הוצאות פעילות נתמכת</t>
  </si>
  <si>
    <t>הוצאות</t>
  </si>
  <si>
    <t>הכנסות עצמיות נתמכות</t>
  </si>
  <si>
    <t>סה"כ הכנסות עצמיות נתמכות:</t>
  </si>
  <si>
    <t>אחוז הכנסות עצמיות נתמכות</t>
  </si>
  <si>
    <t>צפי לאחוז ביצוע כולל</t>
  </si>
  <si>
    <t>סה"כ הוצאות:</t>
  </si>
  <si>
    <t>הנהלה וכלליות</t>
  </si>
  <si>
    <t>משכורת ושכר עבודה ,סוציאליות ונלוות לשכר(כולל מנכ"ל)</t>
  </si>
  <si>
    <t>מיחשוב</t>
  </si>
  <si>
    <t>ביטוחים</t>
  </si>
  <si>
    <t>שירותי מקצועיים</t>
  </si>
  <si>
    <t>צרכי משרד והדפסות,דואר,טלפון ותקשורת</t>
  </si>
  <si>
    <t>שכר דירה ואחזקה</t>
  </si>
  <si>
    <t>השתתפות נציגי איגוד בישיבות בינ"ל</t>
  </si>
  <si>
    <t>אחזקת כלי רכב</t>
  </si>
  <si>
    <t>אסיפה שנתית</t>
  </si>
  <si>
    <t>סה"כ הוצאות הנהלה וכלליות</t>
  </si>
  <si>
    <t>מספר עמותה</t>
  </si>
  <si>
    <t>שם האגודה:</t>
  </si>
  <si>
    <t>שכר ספורטאים</t>
  </si>
  <si>
    <t>מיסים לרשויות</t>
  </si>
  <si>
    <t>שכר מאמנים וצוות מקצועי</t>
  </si>
  <si>
    <t>דמי שימוש ותחזוקת מתקני ספורט</t>
  </si>
  <si>
    <t>דמי רישום ושיפוט לאיגודים או התאחדויות</t>
  </si>
  <si>
    <t>הסעות בארץ</t>
  </si>
  <si>
    <t>בקרה ורואה חשבון</t>
  </si>
  <si>
    <t>ביטוחים ובדיקות רפואיות</t>
  </si>
  <si>
    <t>ציוד ספורט וציוד רפואי</t>
  </si>
  <si>
    <t>כרטיסי טיסה לזרים</t>
  </si>
  <si>
    <t>אשרות ורשיונות לזרים</t>
  </si>
  <si>
    <t>טיסות למחנות אימון והשתתפות בגביע אירופה</t>
  </si>
  <si>
    <t>לינה וכלכלה בחו"ל</t>
  </si>
  <si>
    <t>מחנות אימון ולינה בארץ</t>
  </si>
  <si>
    <t>רכישה והשאלת ספורטאים</t>
  </si>
  <si>
    <t>מכירת כרטיסים ומינויים</t>
  </si>
  <si>
    <t>פרסום, שיווק ושילוט</t>
  </si>
  <si>
    <t>מכירה והשאלת ספורטאים</t>
  </si>
  <si>
    <t>דמי חבר</t>
  </si>
  <si>
    <t>תקציב 2021 מקור</t>
  </si>
  <si>
    <t>שם עמותה</t>
  </si>
  <si>
    <t>מרכז</t>
  </si>
  <si>
    <t>שולם בפועל ב 19</t>
  </si>
  <si>
    <t>אחוז ששולם בפועל ביחס ל 2019</t>
  </si>
  <si>
    <t>תמיכה 2020 לפי המודל</t>
  </si>
  <si>
    <t>מקדמה 70% ביחס ל- 2019</t>
  </si>
  <si>
    <t>מקדמה 80% ביחס ל- 2020</t>
  </si>
  <si>
    <t>תשלום בפועל יולי 2020</t>
  </si>
  <si>
    <t>מכבי אלקטרה תל אביב</t>
  </si>
  <si>
    <t>מכבי</t>
  </si>
  <si>
    <t>החברה לפיתוח הכדוריד בפתח תקוה</t>
  </si>
  <si>
    <t>הפועל הרצליה בע"מ</t>
  </si>
  <si>
    <t>הפועל</t>
  </si>
  <si>
    <t>מכבי הרצליה</t>
  </si>
  <si>
    <t>בני השרון כדורסל בע"מ (בני הרצליה)</t>
  </si>
  <si>
    <t>בנות הרצליה כדורסל בע"מ</t>
  </si>
  <si>
    <t>מועדון שחמ"ט-באר-שבע</t>
  </si>
  <si>
    <t>עצמאי</t>
  </si>
  <si>
    <t>מועדון מכבי צפון תל-אביב</t>
  </si>
  <si>
    <t>אסא תל אביב</t>
  </si>
  <si>
    <t>מועדון חיפה לכדורת הדשא</t>
  </si>
  <si>
    <t>עוצמה</t>
  </si>
  <si>
    <t>אליצור קרית אתא - טנ"ש</t>
  </si>
  <si>
    <t>אליצור</t>
  </si>
  <si>
    <t>ל.כ.ן לקידום כדורסל נשים</t>
  </si>
  <si>
    <t>אגודת ספורט "שמשון" תל אביב</t>
  </si>
  <si>
    <t>מסד אליצור רחובות (פתח תקווה)</t>
  </si>
  <si>
    <t>האגודה לג'ודו והתגוננויות</t>
  </si>
  <si>
    <t>עמותת ידידי אגודת הפועל כפר שלם לקידום החינוך התרבות הנוער והספורט כפר שלם</t>
  </si>
  <si>
    <t>מכבי מעלה אדומים</t>
  </si>
  <si>
    <t>מכבי מכבים</t>
  </si>
  <si>
    <t>הפועל תל אביב- מועדון ימי קיאקים- שיט- חתירה</t>
  </si>
  <si>
    <t>הפועל לוד</t>
  </si>
  <si>
    <t>מועדון הברידג' כפר סבא</t>
  </si>
  <si>
    <t>מכבי ראשל"צ כדורסל</t>
  </si>
  <si>
    <t>המרכז לחינוך וספורט ימי אילת</t>
  </si>
  <si>
    <t>אגודת באולינג אמריקאי רמת גן</t>
  </si>
  <si>
    <t>מועדון שחמט הרצליה</t>
  </si>
  <si>
    <t>עמותת הכדורסל 1990 הפועל פתח תקוה</t>
  </si>
  <si>
    <t>עמותתה מועדון הספורט עמישב</t>
  </si>
  <si>
    <t>עמותת רחף</t>
  </si>
  <si>
    <t xml:space="preserve">א.ס.א. באר שבע בן-גוריון בנגב </t>
  </si>
  <si>
    <t>ביתר מיכה ראשון</t>
  </si>
  <si>
    <t>ביתר</t>
  </si>
  <si>
    <t>עמותת הספורט ואומניות הלחימה המשולש וג'לג'וליה</t>
  </si>
  <si>
    <t>מכבי פתח תקווה</t>
  </si>
  <si>
    <t>בית הספר לספורט השגי כרמיאל</t>
  </si>
  <si>
    <t>מכבי השרון נתניה</t>
  </si>
  <si>
    <t>מועדון קלעי חיפה</t>
  </si>
  <si>
    <t>מכבי קרית שרת כדוריד</t>
  </si>
  <si>
    <t>עמותת הספורט החינוך והתרבות בכפר תרשיחא</t>
  </si>
  <si>
    <t>א.ב.א ראשל"צ</t>
  </si>
  <si>
    <t>אליצור פתח תקוה שחמט</t>
  </si>
  <si>
    <t>הפועל אשדוד ענפים</t>
  </si>
  <si>
    <t>עמותת הפועל נווה שאנן כדור עף</t>
  </si>
  <si>
    <t>מועדון הכדורסל מכבי כלנית כרמיאל</t>
  </si>
  <si>
    <t>איגוד ספורטיבי דתי אליצור קרית אתא כדורסל</t>
  </si>
  <si>
    <t>עמותת ידידי מכבי רמת חן</t>
  </si>
  <si>
    <t>א.כ. נס ציונה</t>
  </si>
  <si>
    <t>מועדון כדורסל מכבי תל אביב</t>
  </si>
  <si>
    <t>אליצור רעננה</t>
  </si>
  <si>
    <t>הפועל כפר סבא מועדון כדורעף</t>
  </si>
  <si>
    <t>הפועל בני סכנין</t>
  </si>
  <si>
    <t>מועדון ספורט הוד השרון</t>
  </si>
  <si>
    <t>אליצור ירושלים כדורסל</t>
  </si>
  <si>
    <t>הפועל טבעון טניס</t>
  </si>
  <si>
    <t>מועדון קרח בת ים</t>
  </si>
  <si>
    <t>מכבי פתח תקווה עצמאות</t>
  </si>
  <si>
    <t>מועדון שחמט אשדוד</t>
  </si>
  <si>
    <t>מכבי חיפה כרמל</t>
  </si>
  <si>
    <t>העמותה לקידום הנוער בכדורסל -הפועל ירושלים</t>
  </si>
  <si>
    <t>איגוד ספורטיבי דתי אליצור רמת גן</t>
  </si>
  <si>
    <t>מכבי תיכון חדרה כדורעף</t>
  </si>
  <si>
    <t>מועדון הקליעה הפועל כפר סבא</t>
  </si>
  <si>
    <t>עמותה לקידום ספורט בכדור יד ברמת גן</t>
  </si>
  <si>
    <t>קרן קרית מלאכי לפיתוח הספורט</t>
  </si>
  <si>
    <t>העמותה לקידום הטוקאנדו האריות</t>
  </si>
  <si>
    <t>שמשון בני טייבה</t>
  </si>
  <si>
    <t>כפפות הזהב נהריה</t>
  </si>
  <si>
    <t>ביתר כפר כנא</t>
  </si>
  <si>
    <t>עמותה לקידום הכדורעף בקרית אתא</t>
  </si>
  <si>
    <t>הפועל ת''א-עמותת מחלקת ההתעמלות</t>
  </si>
  <si>
    <t>מיטב קידום מודיעין</t>
  </si>
  <si>
    <t>מיטב ירושלים</t>
  </si>
  <si>
    <t>אחי יהודה</t>
  </si>
  <si>
    <t>מועדון הכדורסל הוד השרון</t>
  </si>
  <si>
    <t>העמותה לקידום השיט בנהריה</t>
  </si>
  <si>
    <t>מכבי הארזים רמת גן</t>
  </si>
  <si>
    <t>מועדון הקליעה רעננה</t>
  </si>
  <si>
    <t>הפועל מופת בת ים</t>
  </si>
  <si>
    <t>מועדון מכבי הוד השרון כדורעף</t>
  </si>
  <si>
    <t>מיטב בת ים</t>
  </si>
  <si>
    <t>מ.ט. גבעת אלה חיפה</t>
  </si>
  <si>
    <t>מועדון הגו'דו מכבי הרצליה</t>
  </si>
  <si>
    <t>פטנק רוטשילד תל אביב</t>
  </si>
  <si>
    <t>מועדון האקרובטיקה וההתעמלות מכבי דן</t>
  </si>
  <si>
    <t>מועדון אתלטיקה קלה מכבי ראשון לציון</t>
  </si>
  <si>
    <t>מועדון לענפי ספורט מכבי תל אביב</t>
  </si>
  <si>
    <t>מועדון כדורעף רעננה</t>
  </si>
  <si>
    <t>העמותה לקידום השחיה בקרית אונו</t>
  </si>
  <si>
    <t>אונו כדוריד- ספורט</t>
  </si>
  <si>
    <t>מועדון פטנק ראשון לציון</t>
  </si>
  <si>
    <t>עירוני ניר רמת השרון</t>
  </si>
  <si>
    <t>מועדון כדוריד מכבי ראשון</t>
  </si>
  <si>
    <t>ק.ק תל אביב</t>
  </si>
  <si>
    <t>מכבי הלוחם הצעיר</t>
  </si>
  <si>
    <t>איגוד רוכבי האופניים בתל אביב</t>
  </si>
  <si>
    <t>אגוד ספורטיבי דתי אליצור גבעת שמואל</t>
  </si>
  <si>
    <t>הפועל כאוכב</t>
  </si>
  <si>
    <t>מועדון השגי מכבי בני הנגב באר שבע</t>
  </si>
  <si>
    <t>עמותת חולון 2000 לספורט עממי</t>
  </si>
  <si>
    <t>קידום הסיוף בבאר שבע</t>
  </si>
  <si>
    <t>מועדון ניווט גליל</t>
  </si>
  <si>
    <t>עמותת צעירי הנגב - רהט</t>
  </si>
  <si>
    <t>עומתת בית"ר רמלה טניס שולחן</t>
  </si>
  <si>
    <t>הפועל אפרא מעברות קליעה</t>
  </si>
  <si>
    <t>ביתר אשדוד כדורסל</t>
  </si>
  <si>
    <t>מסטרס חיפה מועדון אופניים</t>
  </si>
  <si>
    <t>עמותת מועדון הכדורסל מכבי אום אל פחם</t>
  </si>
  <si>
    <t>ה.ל.ה.ב</t>
  </si>
  <si>
    <t>מועדון טניס הרצליה</t>
  </si>
  <si>
    <t>העמותה לקידום הספורט ותרבות הפנאי שומרון</t>
  </si>
  <si>
    <t>ספורטאי מכבי אשדוד</t>
  </si>
  <si>
    <t>מועדון כדורסל עוצמה מודיעין</t>
  </si>
  <si>
    <t>כאן בשבילך- מגדל העמק</t>
  </si>
  <si>
    <t>עמותה לקידום הספורט בעמק המעיינות</t>
  </si>
  <si>
    <t>מועדון הכדורסל מכבי פרדס חנה / קיסריה</t>
  </si>
  <si>
    <t>ביתר מעלה אדומים</t>
  </si>
  <si>
    <t>הפועל כפר קנא</t>
  </si>
  <si>
    <t>מועדון ספורט עילבון</t>
  </si>
  <si>
    <t>עמותה לקידום הספורט בעמק חפר</t>
  </si>
  <si>
    <t>העמותה לקידום כדורגל נשים הפועל באר שבע נשים</t>
  </si>
  <si>
    <t>עמותה לקידום הספורט בחבל אילות</t>
  </si>
  <si>
    <t>עמותת הספורט כחול לבן - בעמק יזרעאל</t>
  </si>
  <si>
    <t>מועדון ספורט באר שבע</t>
  </si>
  <si>
    <t>העמותה לקידום הספורט במטה אשר</t>
  </si>
  <si>
    <t>עמותת השחר לקידום הספורט וחינוך גופני בבאקה</t>
  </si>
  <si>
    <t>עמותת הספורט בזבולון</t>
  </si>
  <si>
    <t>מסד פתח תקווה</t>
  </si>
  <si>
    <t>העמותה לקידום הספורט ביואב</t>
  </si>
  <si>
    <t>העמותה לקידום הכדורסל הפועל ארזים אשדוד</t>
  </si>
  <si>
    <t>מועדון ספורט החרשים בתל אביב</t>
  </si>
  <si>
    <t>עמותת מועדון השייט הפועל זבולון עכו</t>
  </si>
  <si>
    <t>שועאע כפר קאסם</t>
  </si>
  <si>
    <t>מועדון ספורט טירה</t>
  </si>
  <si>
    <t>מועדון הטניס אביחיל עמק חפר</t>
  </si>
  <si>
    <t>אסא טכניון חיפה</t>
  </si>
  <si>
    <t>עמותת זמרין להתעמלות מכשירים  וספורט</t>
  </si>
  <si>
    <t>הפועל "הדור הצעיר" סכנין</t>
  </si>
  <si>
    <t>עמותת באולינג אשדוד 2006</t>
  </si>
  <si>
    <t>מכסי נווה גנים מוצקין</t>
  </si>
  <si>
    <t>מכבי מועדון התעמלות אריאל</t>
  </si>
  <si>
    <t>ס.א.ן ספורט אירועים נופש רמלה</t>
  </si>
  <si>
    <t>מועדון ההתעמלות האומנותית מכבי השרון</t>
  </si>
  <si>
    <t>מועדון כדור יד באר שבע</t>
  </si>
  <si>
    <t>אסיסט לנוער בסיכון - גליל</t>
  </si>
  <si>
    <t>אליצור הוד השרון</t>
  </si>
  <si>
    <t>אלשאגור לקידום ספורט חינוך ותרבות</t>
  </si>
  <si>
    <t>כפפות הזהב -כוכבי נצרת</t>
  </si>
  <si>
    <t>במידה טובה טניס</t>
  </si>
  <si>
    <t>מכבי קביליו יפו</t>
  </si>
  <si>
    <t>ניצני גן יבנה כדורסל</t>
  </si>
  <si>
    <t>א.ס. סביון</t>
  </si>
  <si>
    <t>העמותה לקידום ענף הקראטה התחרותי בבאר שבע ובנגב</t>
  </si>
  <si>
    <t>מועדון הפוטבול האמריקאי בירושלים</t>
  </si>
  <si>
    <t>אל נאדי אל אורתודוקסי עמותת ספורט בנצרת</t>
  </si>
  <si>
    <t>אקדמיה לטניס הפועל תל אביב</t>
  </si>
  <si>
    <t>מכבי בת ים</t>
  </si>
  <si>
    <t>הפועל פתח תקווה גברים כדוריד</t>
  </si>
  <si>
    <t>עמותת בני קלנסואה לספורט טוב יותר</t>
  </si>
  <si>
    <t>אלוף הג'ודו בבאר שבע</t>
  </si>
  <si>
    <t>צעירי ברטעה</t>
  </si>
  <si>
    <t>פייטינג ספיריט</t>
  </si>
  <si>
    <t>הישגי באר שבע האבקות חופשית</t>
  </si>
  <si>
    <t>העמותה לקידום כדורסל נשים ירושלים</t>
  </si>
  <si>
    <t>הפועל טירת הכרמל</t>
  </si>
  <si>
    <t>העמותה לקידום הספורט והאחווה יקנעם</t>
  </si>
  <si>
    <t>אתגר לירוחם</t>
  </si>
  <si>
    <t>הפועל חיפה טניס שולחן</t>
  </si>
  <si>
    <t>העמותה לעידוד הספורטאי החרש אשדוד</t>
  </si>
  <si>
    <t>עמותה לפיתוח ספורטאים בישראל -לוד</t>
  </si>
  <si>
    <t>ביתר ירושלים בכדרוסל</t>
  </si>
  <si>
    <t>מסד הר חברון</t>
  </si>
  <si>
    <t>העמותה לקידום הכדורסל בגליל העליון</t>
  </si>
  <si>
    <t>עמותת ספורט אלופי נחף</t>
  </si>
  <si>
    <t>מורדי יהודה</t>
  </si>
  <si>
    <t>העתיד ג'דידה מכר</t>
  </si>
  <si>
    <t>עוצמה בועז</t>
  </si>
  <si>
    <t>גודוגו האקדמיה הראשונה לגודו</t>
  </si>
  <si>
    <t>מועדון כדרוגל בנות נתניה</t>
  </si>
  <si>
    <t>העמותה לקידום הכדורעף בירושלים וסביבותיה</t>
  </si>
  <si>
    <t>עלה גלגולים כרמיאל</t>
  </si>
  <si>
    <t>מועדון ספורט חיפה רובי שפירא</t>
  </si>
  <si>
    <t>אדם בספורט ג'ודו בשרון</t>
  </si>
  <si>
    <t>ראשונים ברוח ספורטיבית</t>
  </si>
  <si>
    <t>האדומים של אשדוד</t>
  </si>
  <si>
    <t>עמותת פרחי הספורט לקידום הספורט בגדרה</t>
  </si>
  <si>
    <t>מועדון ספורט איחוד דרום השרון</t>
  </si>
  <si>
    <t>מועדון בדמינטון יהוד</t>
  </si>
  <si>
    <t>סלעים איתנים</t>
  </si>
  <si>
    <t>עמותה להתעמלות אומנותית אשקלון</t>
  </si>
  <si>
    <t>גולדן טניס נתניה</t>
  </si>
  <si>
    <t>כפר ורדים</t>
  </si>
  <si>
    <t>החברה לפיתוח גני תקווה בע"מ</t>
  </si>
  <si>
    <t>מרכז קוסל ירושלים</t>
  </si>
  <si>
    <t>מועדון הכדורגל נווה יוסף</t>
  </si>
  <si>
    <t>אליצור חולון</t>
  </si>
  <si>
    <t>חוסן באר שבע (אס"ח)</t>
  </si>
  <si>
    <t>אליצור אלקנה</t>
  </si>
  <si>
    <t>מכבי אורנית</t>
  </si>
  <si>
    <t>א.ס רמת השרון</t>
  </si>
  <si>
    <t>העמותה לקידום הספורט בגבעתיים</t>
  </si>
  <si>
    <t>הפועל אחווה חיפה</t>
  </si>
  <si>
    <t>הפועל אעבלין לכדורסל</t>
  </si>
  <si>
    <t xml:space="preserve"> הווארנג טאקוונדו ירושלים</t>
  </si>
  <si>
    <t>העמותה לקידום הספורט בנצרת עלית</t>
  </si>
  <si>
    <t>ב"ס  לכדורגל פרדס חנה</t>
  </si>
  <si>
    <t>עמותה לקידום הכדורסל "הפועל סביונים גן יבנה"</t>
  </si>
  <si>
    <t>הפועל נועם פרדסיה</t>
  </si>
  <si>
    <t>מיטב קידום רחובות</t>
  </si>
  <si>
    <t>מיטב לקידום הספורט באור עקיבא</t>
  </si>
  <si>
    <t>מועדון כדורסל בנות אשדוד</t>
  </si>
  <si>
    <t>עמותה לקידום הספורט בערד</t>
  </si>
  <si>
    <t>מועדון ספורט אורתודוכסים יפו</t>
  </si>
  <si>
    <t>הפעול בית יצחק שער חפר</t>
  </si>
  <si>
    <t>מועדון סקי מים בכבלים תל אביב</t>
  </si>
  <si>
    <t>עמותת שחייני אשדוד</t>
  </si>
  <si>
    <t>עמותת הוקי רולר ראשון לציון</t>
  </si>
  <si>
    <t>מכבי בני הרצליה</t>
  </si>
  <si>
    <t>העמותה לקידום כדורגל נשים בפתח תקווה</t>
  </si>
  <si>
    <t>עמותת דרך לעתיד</t>
  </si>
  <si>
    <t>הפועל עפולה</t>
  </si>
  <si>
    <t>מועדון כדורסל גלבוע עפולה</t>
  </si>
  <si>
    <t>קאנטרי קלאב כפר סבא</t>
  </si>
  <si>
    <t>אקווטלון נתניה</t>
  </si>
  <si>
    <t>העמותה לקידום מועדון הכדורגל הפועל איחוד קריית אונו 2003</t>
  </si>
  <si>
    <t>העמותה לקידום השחייה ברחובות</t>
  </si>
  <si>
    <t>הפועל עירוני אעבלין</t>
  </si>
  <si>
    <t>מועדון כדורגל ארזים חולון</t>
  </si>
  <si>
    <t>עמותת נצרת 2003</t>
  </si>
  <si>
    <t>ביתר כפר סבא</t>
  </si>
  <si>
    <t>עמותת הספורט בעמק הירדן</t>
  </si>
  <si>
    <t>אחי עכו</t>
  </si>
  <si>
    <t>מועדון רזי הטאקוונדו</t>
  </si>
  <si>
    <t>פועלים באדום</t>
  </si>
  <si>
    <t>מועדון לקידום כדורגל נשים ברמת השרון</t>
  </si>
  <si>
    <t>העמותה לתרבות חינוך וספורט לילדי טירה והמשולש</t>
  </si>
  <si>
    <t>בני אילת - מועדון כדורגל</t>
  </si>
  <si>
    <t>עמותת איתן- ספורט מים אתגרי בירושלים</t>
  </si>
  <si>
    <t>אליצור תל אביב</t>
  </si>
  <si>
    <t>מועדון כדורת הדשא קרית אונו</t>
  </si>
  <si>
    <t>העמותה לפיתוח ענף ספורטיבי לריקודים סלוניים ולטינו אמריקאיים</t>
  </si>
  <si>
    <t>הפועל באר שבע עתיד הנגב כדורסל</t>
  </si>
  <si>
    <t>העמותה לטיפוח מצויינות כדורסל אשקלון</t>
  </si>
  <si>
    <t>עמותת מועדון השייט מכמורת עמק חפר</t>
  </si>
  <si>
    <t>מועדון ספורט באקה אלגרבייה</t>
  </si>
  <si>
    <t>בני אום אל פאחם</t>
  </si>
  <si>
    <t>מועדון ספורט חרשים יהוד מונסון</t>
  </si>
  <si>
    <t>עמותת באולינג נגב</t>
  </si>
  <si>
    <t>ביתר נורדיה ירושלים</t>
  </si>
  <si>
    <t>מכבי עמי נצרת עלית ספורט</t>
  </si>
  <si>
    <t>העמותה לקידום הספורט והחינוך אריאל</t>
  </si>
  <si>
    <t>אליצור לוד</t>
  </si>
  <si>
    <t>העמותה לקידום טניס שולחן בר"ג</t>
  </si>
  <si>
    <t>הפועל רצים בעבודה</t>
  </si>
  <si>
    <t>דולפיני אשדוד</t>
  </si>
  <si>
    <t>עמותת רוגבי ינשופי רחובות</t>
  </si>
  <si>
    <t>מכבי דרך יבול הבשור</t>
  </si>
  <si>
    <t>החברה לפיתוח הכדורגל בשכונות פתח תקווה</t>
  </si>
  <si>
    <t>דור העתיד קרית אונו</t>
  </si>
  <si>
    <t>הפועל באר שבע</t>
  </si>
  <si>
    <t>הפועל כפר סבא שלי</t>
  </si>
  <si>
    <t>מכבי אחי נצרת</t>
  </si>
  <si>
    <t>מועדון השייטים תל אביב</t>
  </si>
  <si>
    <t>מועדון ספורט עירוני אשדוד</t>
  </si>
  <si>
    <t>האגודה לקידום הספורט באזור שער הנגב</t>
  </si>
  <si>
    <t>ארגון נכי צה"ל</t>
  </si>
  <si>
    <t>פטנק קלוב נתניה</t>
  </si>
  <si>
    <t>הפועל בני יהודה רמת הגולן</t>
  </si>
  <si>
    <t>איגוד ספורטיבי אליצור כוכב יאיר</t>
  </si>
  <si>
    <t>אגודת כדורת רחובות</t>
  </si>
  <si>
    <t>אגודת באולינג פתח תקווה</t>
  </si>
  <si>
    <t>מועדון עירוני להתעמלות חולון</t>
  </si>
  <si>
    <t>מועדון ראגבי השרון</t>
  </si>
  <si>
    <t>אגודת שחייה מכבי נהרייה</t>
  </si>
  <si>
    <t>עמותת הגליל לקידום הספורט</t>
  </si>
  <si>
    <t>עמותת אליצור "מייסדים" כרמיאל</t>
  </si>
  <si>
    <t>עמותת כדורגל הפועל מגדל העמק</t>
  </si>
  <si>
    <t>שוטוקאן ריו נהריה 1996</t>
  </si>
  <si>
    <t>מודעון הספורט קריית חיים</t>
  </si>
  <si>
    <t>עמותת ידידי ביתר רמת גן - כדורגל</t>
  </si>
  <si>
    <t>מועדון הסיוף הפועל כפר סבא</t>
  </si>
  <si>
    <t>אגודת ספורט הפועל עומר</t>
  </si>
  <si>
    <t>מיטב תל אביב</t>
  </si>
  <si>
    <t>עמותת שח קריות והצפון (אליצור קרית שמואל)</t>
  </si>
  <si>
    <t>כוכב דוד קרית גת</t>
  </si>
  <si>
    <t>מיטב אילת</t>
  </si>
  <si>
    <t>מיטב נתניה</t>
  </si>
  <si>
    <t>מיטב אשדוד</t>
  </si>
  <si>
    <t>אליצור חשמונאים ראשון</t>
  </si>
  <si>
    <t>עמותת ספורט דור העתיד בכדורסל הפועל גבעתיים</t>
  </si>
  <si>
    <t>עוצמת יפרח</t>
  </si>
  <si>
    <t>טייגרס סופט בול</t>
  </si>
  <si>
    <t>ספורטילנד שהם</t>
  </si>
  <si>
    <t xml:space="preserve">הפועל הרצליה </t>
  </si>
  <si>
    <t>סיכוי לצעירים חיפה</t>
  </si>
  <si>
    <t>הפועל נצרת עלית</t>
  </si>
  <si>
    <t>מועדון באולינג חוצות 2000</t>
  </si>
  <si>
    <t>רעננה סופטבול קבוצת סופטבול</t>
  </si>
  <si>
    <t>מועדון כדורסל הפועל טבריה</t>
  </si>
  <si>
    <t>מכבי רחובות</t>
  </si>
  <si>
    <t>הפועל המעפיל</t>
  </si>
  <si>
    <t>עמותה לקידום הטניס ברמלה</t>
  </si>
  <si>
    <t>העמותה לקידום הספורט רמת נגב</t>
  </si>
  <si>
    <t>הפועל ניקה באר שבע</t>
  </si>
  <si>
    <t>עמותה עירונית לקידום הספורט באיזור מגידו</t>
  </si>
  <si>
    <t>העמותה לקידום הספורט בחבל בני שמעון</t>
  </si>
  <si>
    <t>דור העתיד לטניס רמת השרון</t>
  </si>
  <si>
    <t>העמותה להפועל ברנר</t>
  </si>
  <si>
    <t>עמותת שוחרי ספורט כפר יונה</t>
  </si>
  <si>
    <t>אגודת כדוריד ראשון לציון</t>
  </si>
  <si>
    <t>עירוני קרית אונו</t>
  </si>
  <si>
    <t>קלוב התעופה - חדרה</t>
  </si>
  <si>
    <t>נוער חולון לקידום הספורט</t>
  </si>
  <si>
    <t>העמותה לקידום הכדוריד ברחובות</t>
  </si>
  <si>
    <t>מועדון הכדורסל אליצור אשדוד</t>
  </si>
  <si>
    <t>מ.ס רמת אביב</t>
  </si>
  <si>
    <t>העמותה מעגן מיכאל/ שדות ים ספורט</t>
  </si>
  <si>
    <t>הפועל להבים</t>
  </si>
  <si>
    <t>מ.ס. צעירי שיכון המזרח</t>
  </si>
  <si>
    <t>העמותה לקידום הספורט במשגב</t>
  </si>
  <si>
    <t>מכבי שהם</t>
  </si>
  <si>
    <t>עמותה לספורט הפועל לב השרון</t>
  </si>
  <si>
    <t>כדור נוצה פתח תקוה</t>
  </si>
  <si>
    <t>העמותה לעידוד ענפי הכדוריד והכדורסל בדימונה</t>
  </si>
  <si>
    <t>מכבי הבילויים גדרה</t>
  </si>
  <si>
    <t>מועדון לקידום כדורגל נשים בחולון</t>
  </si>
  <si>
    <t>שרעבי אומנויות לחימה</t>
  </si>
  <si>
    <t>אתגר רעננה</t>
  </si>
  <si>
    <t>הפועל תקוה תל אביב</t>
  </si>
  <si>
    <t>עמותת שחר לספורט וחינוך אעבלין</t>
  </si>
  <si>
    <t>מרכז ברקאי לחינוך כדורגל ודו קיום</t>
  </si>
  <si>
    <t>מועדון כדורסל מכבי קריית מוצקין</t>
  </si>
  <si>
    <t>יוניפייט</t>
  </si>
  <si>
    <t>מועדון ספורט כדורגל ביתר נהריה</t>
  </si>
  <si>
    <t>אליצור יבנה</t>
  </si>
  <si>
    <t>ספורטאי מודיעין עיר העתיד</t>
  </si>
  <si>
    <t>אליצור אשקלון בנות</t>
  </si>
  <si>
    <t>מועדון השחיה הפועל קרית טבעון</t>
  </si>
  <si>
    <t>עמותה לקידום ענפי ספורט אולימפיים לוד והסביבה</t>
  </si>
  <si>
    <t>עמותת טניס קלאב עמק חפר</t>
  </si>
  <si>
    <t>מועדון בדמינטון חצור</t>
  </si>
  <si>
    <t>העמותה לקידום הספורט אופקים- כדורסל</t>
  </si>
  <si>
    <t>הפועל גנ"צ ורבורג מ.א דרום השרון</t>
  </si>
  <si>
    <t>לוחמי הטאקוונדו</t>
  </si>
  <si>
    <t>מרכז למקצועות קרב אולימפיים ולאומנויות לחימה- כרמיאל</t>
  </si>
  <si>
    <t>תקוות הספורט כפר קאסם</t>
  </si>
  <si>
    <t>העמותה לקידום הרווחה והספורט עין מאהל</t>
  </si>
  <si>
    <t>עמותה לטיפוח הכדורסל 2010 נהריה</t>
  </si>
  <si>
    <t>אנדרדוגס פוטבול</t>
  </si>
  <si>
    <t>מיזונו נתניה</t>
  </si>
  <si>
    <t>העמותה לפיתוח הספורט והאתלטיקה בירושלים</t>
  </si>
  <si>
    <t>הפועל חיפה כדור סל- לב אדום</t>
  </si>
  <si>
    <t>אופק מרכזי טניס שולחן</t>
  </si>
  <si>
    <t>דרקון הזהב - אומנויות לחימה</t>
  </si>
  <si>
    <t>עמותת הנוער לספורט בתל מונד</t>
  </si>
  <si>
    <t>העמותה לקידום הספורט ההשגי בנהריה</t>
  </si>
  <si>
    <t>העמותה לקידום הספורט במרכז כנא מאיר</t>
  </si>
  <si>
    <t>חמושב חוסן יהודה אדרי</t>
  </si>
  <si>
    <t>מרכז ספורט והתעמלות אור עקיבא</t>
  </si>
  <si>
    <t>סנונית אקרובטיקה  והתעמלות</t>
  </si>
  <si>
    <t>אגודת אתלטיקה גלילית</t>
  </si>
  <si>
    <t>500 וואט עמקים</t>
  </si>
  <si>
    <t>הישגי כרמיאל בענפי הספורט</t>
  </si>
  <si>
    <t>כוכבי העתיד לספורט ואדי עארה (ערערה)</t>
  </si>
  <si>
    <t>מועדון ספורט בית שאן</t>
  </si>
  <si>
    <t>ביתר ירושלים</t>
  </si>
  <si>
    <t>הפועל רמת גן אסי</t>
  </si>
  <si>
    <t>בני הרצליה</t>
  </si>
  <si>
    <t>מבנה טיפוס צוקים לזכרו של שגיא בלאו ז"ל</t>
  </si>
  <si>
    <t>מועדון שחמ"ט-ראשון לציון</t>
  </si>
  <si>
    <t>מכבי תל אביב כדורגל</t>
  </si>
  <si>
    <t>התאגדות לתרבות גופנית הפועל נתניה</t>
  </si>
  <si>
    <t>מכבי נתניה איגרוף</t>
  </si>
  <si>
    <t>הפועל חובטי אריה ב"ש</t>
  </si>
  <si>
    <t>רוכבי הנגב</t>
  </si>
  <si>
    <t>קבוצת ותיקי אשקלון - כדורגל</t>
  </si>
  <si>
    <t>רומח אבירים סיוף עכו</t>
  </si>
  <si>
    <t>מכבי מתנס תל כביר</t>
  </si>
  <si>
    <t>העמותה לקידום הספורט ביהוד</t>
  </si>
  <si>
    <t>הפועל רעננה</t>
  </si>
  <si>
    <t>עמותה לקידום הספורט ההישגי במעלות תרשיחא</t>
  </si>
  <si>
    <t>מועדון ספורט בית דגן</t>
  </si>
  <si>
    <t>העמותה לקידום הספורט בנצר סירני</t>
  </si>
  <si>
    <t>עמותת הספורט במטה יהודה</t>
  </si>
  <si>
    <t>האבקות הפועל עכו בית ספר לעתודה אולימפית</t>
  </si>
  <si>
    <t>אדמה רוח ואש</t>
  </si>
  <si>
    <t>כדורסלני מכבי אשדוד</t>
  </si>
  <si>
    <t>ע.ל.ה העמותה לקידום הספורט ברעננה</t>
  </si>
  <si>
    <t>עלה אור יהודה</t>
  </si>
  <si>
    <t>העמותה לקידום כדורסל נשים בנתניה</t>
  </si>
  <si>
    <t>העמותה הכללית לספורט באילת</t>
  </si>
  <si>
    <t>המרכז לרכיבת אופניים ולחברה</t>
  </si>
  <si>
    <t>הפועל בני לוד רכבת</t>
  </si>
  <si>
    <t>העמותה לקידום הטניס בנצרת והסביבה</t>
  </si>
  <si>
    <t>קשתי מכבי ראשון</t>
  </si>
  <si>
    <t>עמותת דור ספורטיבי דיר חנא</t>
  </si>
  <si>
    <t>מועדון כדורגל עירוני אור יהודה</t>
  </si>
  <si>
    <t>הפועל תמרה</t>
  </si>
  <si>
    <t>מועדון ספורט שוהם</t>
  </si>
  <si>
    <t>חינוך ספורט וטאקוונדו</t>
  </si>
  <si>
    <t>עמותת הספורט העירונית ראש העין</t>
  </si>
  <si>
    <t>עמותה לקידום ספורט נשים הפועל טייבה</t>
  </si>
  <si>
    <t>קייאקים זבולון ת"א</t>
  </si>
  <si>
    <t>קידום הכדורסל בגוש עציון</t>
  </si>
  <si>
    <t>קידום הספורט במודיעין</t>
  </si>
  <si>
    <t>עמותת ספורט וכדורגל בקרית גת</t>
  </si>
  <si>
    <t>חץ ומטרה אופניים</t>
  </si>
  <si>
    <t>רובאי ישראל</t>
  </si>
  <si>
    <t>עמותת אלנסיג לספורט מגד אל כרום</t>
  </si>
  <si>
    <t>האקדמיה לבדמינטון אזור יהוד</t>
  </si>
  <si>
    <t>קוגוריו פייטרס</t>
  </si>
  <si>
    <t>אתגר בנגב</t>
  </si>
  <si>
    <t>מכבי ג'ים ק. ביאליק</t>
  </si>
  <si>
    <t>קאסה דאנס ריקודים סלונים בצפון</t>
  </si>
  <si>
    <t>עאון ללתעלים -עמותת קבוצת הכדורגל אלנהדה</t>
  </si>
  <si>
    <t>מועדון ספורט נתניה קולט כהן</t>
  </si>
  <si>
    <t>נ.ש.ג.ע נשים גליל עליון</t>
  </si>
  <si>
    <t>בית הספר לכדורגל ע"ש ארז אשכנזי</t>
  </si>
  <si>
    <t>עמותה לקידום ספורט הסיוף בתל אביב ובמרכז</t>
  </si>
  <si>
    <t>אייס חולון</t>
  </si>
  <si>
    <t>מסד רחובות</t>
  </si>
  <si>
    <t>לקידום ספורט הרוגבי וסביבותיה</t>
  </si>
  <si>
    <t>אלריאדה מן אג'ל בלדי שפרעם</t>
  </si>
  <si>
    <t>עמותת המולטי ספורט נס ציונה</t>
  </si>
  <si>
    <t>העמותה לקידום הכדורעף וכדורעף חופים באשדוד</t>
  </si>
  <si>
    <t>האחווה הכחולה</t>
  </si>
  <si>
    <t>מועדון רוגבי הדרים</t>
  </si>
  <si>
    <t>העמותה לקידום הספורט הדרכיבה ביגור</t>
  </si>
  <si>
    <t>העמותה למצוינות בספורט מכבי קרית חיים</t>
  </si>
  <si>
    <t>ע.ר.כ - עין רעננה כדורסל</t>
  </si>
  <si>
    <t>עצמה האתלט ראשון לציון</t>
  </si>
  <si>
    <t>ביתר תל אביב רמלה</t>
  </si>
  <si>
    <t>הפועל מגדל ירושלים</t>
  </si>
  <si>
    <t>מכבי נתניה חדש</t>
  </si>
  <si>
    <t>מועדון השייט טבריה</t>
  </si>
  <si>
    <t>העמותה לקידום הכדורסל בלוד</t>
  </si>
  <si>
    <t>הפועל רהט</t>
  </si>
  <si>
    <t>הכדור הרץ- ראשון לציון</t>
  </si>
  <si>
    <t>מועדון כדורת דשא רמת גן</t>
  </si>
  <si>
    <t>מרכז ספורט הרכיבה ברמת גן</t>
  </si>
  <si>
    <t>הפועל מרמורק</t>
  </si>
  <si>
    <t>עמותה לחינוך בלתי פורמלי נתניה</t>
  </si>
  <si>
    <t>הפועל עירוני יוקנעם</t>
  </si>
  <si>
    <t>העמותה לקידום השחייה והשחיינים קרית ביאליק</t>
  </si>
  <si>
    <t>העמותה לקידום התעמלות אומנותית בכפר סבא</t>
  </si>
  <si>
    <t>ביתר אשדוד טניס שולחן</t>
  </si>
  <si>
    <t>עמותה לקידום הטניס בבית ים</t>
  </si>
  <si>
    <t>קידום שחיה עומר</t>
  </si>
  <si>
    <t>מכבי נשר עזריה</t>
  </si>
  <si>
    <t>מכבי נווה שאנן חיפה</t>
  </si>
  <si>
    <t>מועדון השחמ"ט  פתח תקוה</t>
  </si>
  <si>
    <t>ירושלים רבתי שחייה</t>
  </si>
  <si>
    <t>הפועל יפיע</t>
  </si>
  <si>
    <t>הפועל גמביט קרית ביאליק</t>
  </si>
  <si>
    <t>מועדון מכבי ראשון לציון לבדמינטון</t>
  </si>
  <si>
    <t>חבל יבנה</t>
  </si>
  <si>
    <t>פטנק קריית ביאליק</t>
  </si>
  <si>
    <t>עמותת ניווט מודיעים</t>
  </si>
  <si>
    <t>הנוער של בית אליעזר חדרה</t>
  </si>
  <si>
    <t>עמותת טניס שולחן נס ציונה</t>
  </si>
  <si>
    <t>קבוצת הכדורגל שיכון ותיקים ר"ג</t>
  </si>
  <si>
    <t>גל אולימפי הפועל אשדוד</t>
  </si>
  <si>
    <t>הפועל נשר כדורסל לנוער</t>
  </si>
  <si>
    <t>מכבי שדרות</t>
  </si>
  <si>
    <t>הפועל מבשרת ציון</t>
  </si>
  <si>
    <t>מכבי יבנה</t>
  </si>
  <si>
    <t>מכבי כשרונות חדרה</t>
  </si>
  <si>
    <t>מועדון כדורסל כדור הפלא- ראשון לציון</t>
  </si>
  <si>
    <t>ניצני הספורט הטמרה</t>
  </si>
  <si>
    <t>העמותה להרחבת פעילות הספורט ביישובי המועצה האזורית חבל מודיעין</t>
  </si>
  <si>
    <t>הפועל יונט חולון החדשה</t>
  </si>
  <si>
    <t>פטנק מושב ניר צבי</t>
  </si>
  <si>
    <t>מכבי חדרה</t>
  </si>
  <si>
    <t>נושיט יד לילדי אילת</t>
  </si>
  <si>
    <t>עמותה לקידום הספורט והתרבות בכפר כאבול</t>
  </si>
  <si>
    <t>הפועל בנימינה גבעת עדה</t>
  </si>
  <si>
    <t>מעופפי הים</t>
  </si>
  <si>
    <t>העמותה לקידום השחיה הוד השרון</t>
  </si>
  <si>
    <t>איחוד בני מג'ד אל כרום- מג'ד אל כרום</t>
  </si>
  <si>
    <t>המרכז לטניס שולחן ירושלים</t>
  </si>
  <si>
    <t>אלמג'ד- מועדון ספורט ובריאות באעבלין</t>
  </si>
  <si>
    <t>העמותה לטיפוח הכדרוסל והספורט בהרי ירושלים</t>
  </si>
  <si>
    <t>העמותה לקידום בני נוער בכדורסל ובספורט מכבי רמת גן</t>
  </si>
  <si>
    <t>מועדון כדורגל מכבי נהריה 2011</t>
  </si>
  <si>
    <t>הפועל איכסאל עמאד</t>
  </si>
  <si>
    <t>מגיעים רחוק כדורעף נשים וגברים</t>
  </si>
  <si>
    <t>מכבי עוספיא כדורגל</t>
  </si>
  <si>
    <t>מכבי עמי שדרות</t>
  </si>
  <si>
    <t>קידום הספורט בק'רית מוצקין</t>
  </si>
  <si>
    <t>הפועל בני אשדוד</t>
  </si>
  <si>
    <t>כרמל מרכזי טניס שולחן</t>
  </si>
  <si>
    <t>עמותת קיק בוקס וספורט תחרותי כפר יאסיף</t>
  </si>
  <si>
    <t>מכבי אקרובטים - ירושלים</t>
  </si>
  <si>
    <t>משחקים למען השלום</t>
  </si>
  <si>
    <t>עמותת ספורט חוף הכרמל</t>
  </si>
  <si>
    <t>הגנה רעננה</t>
  </si>
  <si>
    <t>עמותה ספורטיבית "הכח" חיפה</t>
  </si>
  <si>
    <t>מכבי רעננה</t>
  </si>
  <si>
    <t>עירוני לוד</t>
  </si>
  <si>
    <t>מועדון איגרוף ירושלים</t>
  </si>
  <si>
    <t>עמותה לקידום הקליעה הפועל אשקלון</t>
  </si>
  <si>
    <t>התאגדות לתרבות גופנית הפועל ראשון לציון</t>
  </si>
  <si>
    <t>מועדון סיוף הפועל חיפה</t>
  </si>
  <si>
    <t>הפועל אשדוד טניס שולחן</t>
  </si>
  <si>
    <t>עמותת השחמט אשקלון</t>
  </si>
  <si>
    <t>קידום האבקות ברחובות</t>
  </si>
  <si>
    <t>עמותת אלנגום לקידום ספורט מג'דל כרום</t>
  </si>
  <si>
    <t>עירוני נס ציונה</t>
  </si>
  <si>
    <t>עמותת הספורט ההשגי בבית שמש וסביבותיה</t>
  </si>
  <si>
    <t>ביתר פתח תקווה</t>
  </si>
  <si>
    <t>מנארה לספורט וחינוך טייבה</t>
  </si>
  <si>
    <t>קטמון מועדון אוהדים</t>
  </si>
  <si>
    <t>אזור עתיד טוב לספורט</t>
  </si>
  <si>
    <t>אהלי באקה לקידום הספורט</t>
  </si>
  <si>
    <t>לפיד ראשון</t>
  </si>
  <si>
    <t>אלנאדי אלריאדי אחווה ביר אל מכסור</t>
  </si>
  <si>
    <t>מועדון האלופים דלית אל כרמל</t>
  </si>
  <si>
    <t>עמותת הפועל אום אל פאחם 2011</t>
  </si>
  <si>
    <t>מועדון ספורט כפר יאסיף</t>
  </si>
  <si>
    <t>אתלטיק קלאב פ"ת</t>
  </si>
  <si>
    <t>גול פעילות ספורטיבית אומרנות ותרבות שעב</t>
  </si>
  <si>
    <t>מועדון כדורגל מעיליא</t>
  </si>
  <si>
    <t>בני קדימה צורן</t>
  </si>
  <si>
    <t>כדורגל נשים רעננה</t>
  </si>
  <si>
    <t>הפועל רמת אליהו</t>
  </si>
  <si>
    <t>מכבי קרית עקרון</t>
  </si>
  <si>
    <t>מועדון כדורסל בני-יהודה ת''א</t>
  </si>
  <si>
    <t>מועדוני האבקות באר שבע</t>
  </si>
  <si>
    <t>ביתר אחוזה</t>
  </si>
  <si>
    <t>מועצה איזורית גליל עליון</t>
  </si>
  <si>
    <t>עמותת הכדורעף- אליצור אשקלון</t>
  </si>
  <si>
    <t>ביתר גבעת זאב</t>
  </si>
  <si>
    <t>מועדון טניס עפלה</t>
  </si>
  <si>
    <t>הפועל לכיש</t>
  </si>
  <si>
    <t>עמותת מכבי באר שבע בראשות אבוקסיס מוטי</t>
  </si>
  <si>
    <t>נתיבי הספורט נתיבות</t>
  </si>
  <si>
    <t>בני יהודה תל אביב</t>
  </si>
  <si>
    <t>מועדון ספורט גדרות</t>
  </si>
  <si>
    <t>אופק כרמיאל לכדורגל</t>
  </si>
  <si>
    <t>מכבי בת ים להאבקות</t>
  </si>
  <si>
    <t>עמותת ספורט נחף</t>
  </si>
  <si>
    <t>עמותת ספורט רב ענפי בנס ציונה</t>
  </si>
  <si>
    <t>מכבי צעירי כפר קרע</t>
  </si>
  <si>
    <t>כפפות הזהב טבריה</t>
  </si>
  <si>
    <t>העמותה לקידום ספורט נשים בקרית גת</t>
  </si>
  <si>
    <t>הפועל בנות זיכרון יעקב</t>
  </si>
  <si>
    <t>עמותת גבעת השופטים עופסיה</t>
  </si>
  <si>
    <t>מועדון הכדורסל מכבי קדימה צורן</t>
  </si>
  <si>
    <t>עמותת ספורט בקהילה דיר אל אסד</t>
  </si>
  <si>
    <t>עמותה לקידום כדורגל בחולון</t>
  </si>
  <si>
    <t>שייט חיפה</t>
  </si>
  <si>
    <t>הפועל "דולפין" נתניה - שחייה</t>
  </si>
  <si>
    <t>עמותת השחיה שוהם</t>
  </si>
  <si>
    <t>מועדון טיפוס ספורטיבי הישגי ירושלים</t>
  </si>
  <si>
    <t>עוצמה ג'ודוקאן מרכז רעננה</t>
  </si>
  <si>
    <t>מרכז הטניס רמת השרון</t>
  </si>
  <si>
    <t>אגודת הטניס בקרית ביאליק</t>
  </si>
  <si>
    <t>מועדון חתירה חיפה</t>
  </si>
  <si>
    <t>מרכז טניס מיתר</t>
  </si>
  <si>
    <t>הפועל זכרון יעקב</t>
  </si>
  <si>
    <t>עמותת שחייני ירושלים</t>
  </si>
  <si>
    <t>ותיקי לוד</t>
  </si>
  <si>
    <t>מועדון פטנק פרדסיה</t>
  </si>
  <si>
    <t>מועדון שחמט ע"ש שמואל שוחט (קרית חיים)</t>
  </si>
  <si>
    <t>העמותה לקידום הספורט במרחבים</t>
  </si>
  <si>
    <t>הפועל פתח תקווה- כדור מים</t>
  </si>
  <si>
    <t>מועדון טניס גלי השרון כפר סבא</t>
  </si>
  <si>
    <t>הפועל גבעת נשר</t>
  </si>
  <si>
    <t>מועדון הטניס שולחן הפועל עירוני נצרת עלית</t>
  </si>
  <si>
    <t>מיטב באר שבע</t>
  </si>
  <si>
    <t>העמותה לקידום הכדורסל באבו- סנאן</t>
  </si>
  <si>
    <t>מועדון הבדמינטון מכבי לוד</t>
  </si>
  <si>
    <t>בית"ר נילי חיפה 2000</t>
  </si>
  <si>
    <t>העמותה לקידום הספורט בגליל התחתון</t>
  </si>
  <si>
    <t>מכבי קרית מוצקין</t>
  </si>
  <si>
    <t>עמותה לקידום הספורט באלפי מנשה</t>
  </si>
  <si>
    <t>עמותת הפועל אבירי בת ים</t>
  </si>
  <si>
    <t>מועדון הספורט של החרשים חיפה</t>
  </si>
  <si>
    <t>עמותת ספורט מכבי כפר המכביה</t>
  </si>
  <si>
    <t>איחוד בני כפר קאסם</t>
  </si>
  <si>
    <t>מכבי בני ריינה</t>
  </si>
  <si>
    <t>אתלטי אורן השרון</t>
  </si>
  <si>
    <t>עמותה לקידום הספורט הצ'רקסי בישראל</t>
  </si>
  <si>
    <t>עמותת הפועל בני טובא זנגריה ענפים</t>
  </si>
  <si>
    <t>מועדון ספורט "אלפא ביתא" ראשל"צ</t>
  </si>
  <si>
    <t>הפועל אושיסקין תל אביב</t>
  </si>
  <si>
    <t>מועדון כדורסל הפועל "מרנין" קרית טבעון</t>
  </si>
  <si>
    <t>בני דודים אנחנו</t>
  </si>
  <si>
    <t>עמותת קיק בוקס סכנין</t>
  </si>
  <si>
    <t>הפועל דיר חנא</t>
  </si>
  <si>
    <t>הפועל פרדסיה</t>
  </si>
  <si>
    <t>הפועל בני ערערה</t>
  </si>
  <si>
    <t>מועדון לטיפוח הנוער בכדורגל בעיר הילדים חולון</t>
  </si>
  <si>
    <t>מכבי רעננה כדוריד</t>
  </si>
  <si>
    <t>עוצמה ג'ודוקאן ניפון רעות (חל"צ)</t>
  </si>
  <si>
    <t>מכבי חיפה כדורסל טריאנגל ג יוזמה</t>
  </si>
  <si>
    <t>מועדון שחמ"ט-כפר סבא</t>
  </si>
  <si>
    <t>כנות</t>
  </si>
  <si>
    <t>איילות רוכבי אופניים</t>
  </si>
  <si>
    <t>הפועל עראבה</t>
  </si>
  <si>
    <t>מכבי קרית אתא</t>
  </si>
  <si>
    <t>באוול 300- חולון</t>
  </si>
  <si>
    <t>העמותה לקידום הכדורגל בטבריה</t>
  </si>
  <si>
    <t>קידום הספורט במזכרת בתיה</t>
  </si>
  <si>
    <t>עמותת בני אכסאל</t>
  </si>
  <si>
    <t>עירוני דימונה כדורגל</t>
  </si>
  <si>
    <t>אשבאל לקידום ופיתוח ספורט תחרותי במג'אר</t>
  </si>
  <si>
    <t>זבולון שורק</t>
  </si>
  <si>
    <t>הפועל חוף השרון</t>
  </si>
  <si>
    <t>העמותה לקידום ספורט בית ספרי בתל אביב</t>
  </si>
  <si>
    <t>אליצור מכבי אשקלון</t>
  </si>
  <si>
    <t>קיקבוקס כנא</t>
  </si>
  <si>
    <t>הרמוני גבעתיים</t>
  </si>
  <si>
    <t>עירוני קריית שמונה</t>
  </si>
  <si>
    <t>הפועל חיפה</t>
  </si>
  <si>
    <t>מכבי חיפה- כדורגל</t>
  </si>
  <si>
    <t>מרה"ט תל אביב</t>
  </si>
  <si>
    <t xml:space="preserve">ביתר </t>
  </si>
  <si>
    <t>מרה"ט חיפה</t>
  </si>
  <si>
    <t>מרה"ט ירושלים</t>
  </si>
  <si>
    <t>ש.ש מועדנוני כדורגל - עליה</t>
  </si>
  <si>
    <t>בית חנוך עוורים לבני ישראל וירושלים</t>
  </si>
  <si>
    <t>הורי מחליקי גלגליות בחולון</t>
  </si>
  <si>
    <t>מועדון טניס מכבי נתניה</t>
  </si>
  <si>
    <t>אתלטי הסימטה</t>
  </si>
  <si>
    <t>הפועל כפר סבא בית ברל</t>
  </si>
  <si>
    <t>מכבי דרום מועדון התעמלות</t>
  </si>
  <si>
    <t>הפועל כפר סבא כדורסל</t>
  </si>
  <si>
    <t>מרכז הספורט הכללי- בני עייש</t>
  </si>
  <si>
    <t>מועדון ימי שחפית זבולון- חיפה</t>
  </si>
  <si>
    <t>הפועל עכו</t>
  </si>
  <si>
    <t>ותיקי ירושלים - קבוצת סופטבול</t>
  </si>
  <si>
    <t>עמותת הפועל רמות מנשה מגידו</t>
  </si>
  <si>
    <t>הפועל אשכול</t>
  </si>
  <si>
    <t>ביתר נווה אליעזר</t>
  </si>
  <si>
    <t>מועדעון ניווט חוף חפר</t>
  </si>
  <si>
    <t>מכבי מועדון ספורט יהודה רחובות</t>
  </si>
  <si>
    <t>עמותת באולינג הרצליה</t>
  </si>
  <si>
    <t>עמותה לקידום הספורט אבן יהודה</t>
  </si>
  <si>
    <t>עמותות מכבי באר שבע נשים</t>
  </si>
  <si>
    <t>מועדון טניס שולחן נתניה</t>
  </si>
  <si>
    <t>מכבי מועדון התעמלות קרית אונו</t>
  </si>
  <si>
    <t>העמותה לקידום ועידו ספורט כדורסל בהפועל תל אביב יפו- קרית עקרון</t>
  </si>
  <si>
    <t>קשתות פלשת 2006</t>
  </si>
  <si>
    <t>מכבי פארק המים רעות שחייה</t>
  </si>
  <si>
    <t>מועדון הכדורמים הפועל קרית טבעון</t>
  </si>
  <si>
    <t xml:space="preserve">קרית ים </t>
  </si>
  <si>
    <t>עמותת לטס דנס</t>
  </si>
  <si>
    <t>מועדון ירי מעשי הרצליה לנדסמן</t>
  </si>
  <si>
    <t>צעירי כפר כנא</t>
  </si>
  <si>
    <t>הפועל בני פסוטה</t>
  </si>
  <si>
    <t>מכבי כפר מנדא</t>
  </si>
  <si>
    <t>מכבי עמי אשקלון</t>
  </si>
  <si>
    <t>אגודת פוטבול נצרת</t>
  </si>
  <si>
    <t>נוער כבביר לדו קיום</t>
  </si>
  <si>
    <t>מכבי מתן</t>
  </si>
  <si>
    <t>הפועל גליל גלבוע</t>
  </si>
  <si>
    <t>מרכז אילן לספורט נכים</t>
  </si>
  <si>
    <t>פליפר עמותה לשחיה</t>
  </si>
  <si>
    <t>העמותה לקידום מועדון הכדורגל - גדנע תל אביב</t>
  </si>
  <si>
    <t>מועדון הכדורסל מכבי שהם</t>
  </si>
  <si>
    <t>הפועל בקעת הירדן</t>
  </si>
  <si>
    <t>ביתר באר שבע טניס שולחן 2000</t>
  </si>
  <si>
    <t>מועדון הרמת המשקולות מכבי רומנו הרצליה</t>
  </si>
  <si>
    <t>קשתות המאה ה21</t>
  </si>
  <si>
    <t>בני יהוד חינוך וספורט</t>
  </si>
  <si>
    <t>קשתי בית לחם הגלילית</t>
  </si>
  <si>
    <t>העמותה לכדורעף חופים בישראל</t>
  </si>
  <si>
    <t>עמותת אקדמיה לקידום ספורט טמרה</t>
  </si>
  <si>
    <t>א.ל- אומנות לחימה או- שו רחובות</t>
  </si>
  <si>
    <t>העמותה לקידום הספורט והתרבות פרדיס</t>
  </si>
  <si>
    <t>מועדון טניס קרית ים</t>
  </si>
  <si>
    <t>אליצור נוה דוד רמלה כדורסל</t>
  </si>
  <si>
    <t>מועדון סופטבול הקליע - בית שמש</t>
  </si>
  <si>
    <t>כדורגל בועיינה נוג'ידאת</t>
  </si>
  <si>
    <t>המרכז להתעמלות אומנותית בת ים</t>
  </si>
  <si>
    <t>כפפות הזהב עפולה</t>
  </si>
  <si>
    <t>הפועל מיתר</t>
  </si>
  <si>
    <t>העמותה לקידום הכדורסל בקריית ביאליק</t>
  </si>
  <si>
    <t>מועדון ברידג' נהריה</t>
  </si>
  <si>
    <t>טניס לב השרון</t>
  </si>
  <si>
    <t>עתיד ספורט פרדיס</t>
  </si>
  <si>
    <t>העמותה לקידום נוער וספורט בישוב עין אלסהלה</t>
  </si>
  <si>
    <t>עמותה לקידום הכדורסל בית שמש</t>
  </si>
  <si>
    <t>מועדון לכדורת נתניה</t>
  </si>
  <si>
    <t>העמותה לקשרי ספורט וחברה</t>
  </si>
  <si>
    <t>אולימפ- מועדון שחיה</t>
  </si>
  <si>
    <t>אטיוד - עמותה לקידום ענף השחמט בגוש דן</t>
  </si>
  <si>
    <t>עוצמה ג'ודוקאן כפר סבא</t>
  </si>
  <si>
    <t>עוצמה ג'ודוקאן מרכז פתח תקווה</t>
  </si>
  <si>
    <t>טאקוונדו הפועל כפר סבא</t>
  </si>
  <si>
    <t>עמותת  מועדון ניווט עמק יזרעאל</t>
  </si>
  <si>
    <t>הפועל נהריה</t>
  </si>
  <si>
    <t>כפפות הזהב כפר יסיף</t>
  </si>
  <si>
    <t>מכבי גבירול באר שבע</t>
  </si>
  <si>
    <t>עמותת הפיסגה</t>
  </si>
  <si>
    <t>מועדון ספורט חצור הגלילית</t>
  </si>
  <si>
    <t>עמותת בני אלסאלם רהט</t>
  </si>
  <si>
    <t>העמותה לקידום הספורט והפנאי בישראל אריאל</t>
  </si>
  <si>
    <t>מועדון כדור הזהב אשדוד</t>
  </si>
  <si>
    <t>נווה דוד חולון</t>
  </si>
  <si>
    <t>הפועל שפרעם</t>
  </si>
  <si>
    <t>מועדון שחיה קרית אתא</t>
  </si>
  <si>
    <t>סקווש בונד ישראל</t>
  </si>
  <si>
    <t>הפועל אריאל</t>
  </si>
  <si>
    <t>הפועל העמותה לקידום איקיגיצו</t>
  </si>
  <si>
    <t>פינירס תאקל פוטבול</t>
  </si>
  <si>
    <t>עמותת כפפות הזהב לאומנות לחינה סכנין</t>
  </si>
  <si>
    <t>סה"כ</t>
  </si>
  <si>
    <t>תשלום מרכזים</t>
  </si>
  <si>
    <t>גוולעד</t>
  </si>
  <si>
    <t>תשלום אגודות</t>
  </si>
  <si>
    <t>קיבלו תמיכה מעבר ל- 80% 2020, אבל לא חרגו מ- 100% 2020</t>
  </si>
  <si>
    <t>החזר מהטוטו למשרד 2019</t>
  </si>
  <si>
    <t>סה"כ תשלום לאחר קיזוז החזר</t>
  </si>
  <si>
    <t>מס'</t>
  </si>
  <si>
    <t>מועצה להסדר ההימורים - שוטף</t>
  </si>
  <si>
    <t>מועצה להסדר ההימורים - אחר פרט</t>
  </si>
  <si>
    <t>רשות מקומית - ציין שם הרשות</t>
  </si>
  <si>
    <t>שווי עלות מתנדבים</t>
  </si>
  <si>
    <t>שם מורשה חתימה 1</t>
  </si>
  <si>
    <t>שם מורשה חתימה 2</t>
  </si>
  <si>
    <t>חתימה:</t>
  </si>
  <si>
    <t>שם ומשפחה</t>
  </si>
  <si>
    <t>מספר ת.ז.</t>
  </si>
  <si>
    <t>שעות חודשיות</t>
  </si>
  <si>
    <t>מספר חודשים</t>
  </si>
  <si>
    <t>תעריף לשעה</t>
  </si>
  <si>
    <t>שווי מתנדבים צוות ניהול</t>
  </si>
  <si>
    <t>פירוט עלות שווי מתנדבים ניהולי תקציב מקור ומעודכן</t>
  </si>
  <si>
    <t>פירוט עלות שווי מתנדבים כללי תקציב מקור ומעודכן</t>
  </si>
  <si>
    <t>תקציב מאוזן</t>
  </si>
  <si>
    <t>מגבלות שווי מתנדבים</t>
  </si>
  <si>
    <t>שיעור הנה"כ ביצוע+צפי:</t>
  </si>
  <si>
    <t>תקציב 20 מעודכן</t>
  </si>
  <si>
    <t>נושא</t>
  </si>
  <si>
    <t>בדיקת שווי מתנדבים</t>
  </si>
  <si>
    <t>מרכז ספורט - פרט</t>
  </si>
  <si>
    <t>בדיקת תקינות הדיווח</t>
  </si>
  <si>
    <t>עמותה</t>
  </si>
  <si>
    <t>סהכ</t>
  </si>
  <si>
    <t>הוצאה פעילות נתמכת</t>
  </si>
  <si>
    <t>ביצוע בפועל</t>
  </si>
  <si>
    <t>הכנסה עצמית</t>
  </si>
  <si>
    <t>580618122</t>
  </si>
  <si>
    <t>העמותה לקידום הכדורעף באשדוד</t>
  </si>
  <si>
    <t>תקציב ביצוע שנתי 2020</t>
  </si>
  <si>
    <t>תקציב 2020 מעודכן</t>
  </si>
  <si>
    <t>תמיכות מאלכס 23.10.2020</t>
  </si>
  <si>
    <t/>
  </si>
  <si>
    <t>שולם עד P</t>
  </si>
  <si>
    <t>פירוט עלות שווי מתנדבים כללי  ביצוע ינואר דצמבר</t>
  </si>
  <si>
    <t>שולמה מקדמה ולא מופיעים בתקציב 2020</t>
  </si>
  <si>
    <t>לא מופיעים בתשלומי 19</t>
  </si>
  <si>
    <t>סיסמה</t>
  </si>
  <si>
    <t>מרכז שיקום וספורט חיפה</t>
  </si>
  <si>
    <t>ביתר טוברוק</t>
  </si>
  <si>
    <t>הכח מכבי עמידר רמת גן</t>
  </si>
  <si>
    <t>הפועל גן שמואל</t>
  </si>
  <si>
    <t>נאות ישי</t>
  </si>
  <si>
    <t>קרירט דימונה א</t>
  </si>
  <si>
    <t>פארק המים - יבנה</t>
  </si>
  <si>
    <t>אגודת כדורת חיפה</t>
  </si>
  <si>
    <t>אגודת מכבי רמת חן השקמה</t>
  </si>
  <si>
    <t>מגל אל גל</t>
  </si>
  <si>
    <t>מועדון טניס קרית חיים</t>
  </si>
  <si>
    <t>עמותת כדור יד נשים הפועל פתח תקוה</t>
  </si>
  <si>
    <t>מרכז קהילתי מתנס בנימינה</t>
  </si>
  <si>
    <t>עמותת הצבי ספורט לקידום עולי אתיופיה</t>
  </si>
  <si>
    <t>בני נצרת לכדורסל</t>
  </si>
  <si>
    <t>עמותת קליעה הפועל מחוז תל אביב</t>
  </si>
  <si>
    <t>אסי גלבוע</t>
  </si>
  <si>
    <t>מועדון הקריקט בבאר שבע</t>
  </si>
  <si>
    <t>כפפות הזהב עראבה</t>
  </si>
  <si>
    <t>הפועל יד מרדכי</t>
  </si>
  <si>
    <t>קליעה אולימפית הרצליה</t>
  </si>
  <si>
    <t>הפועל האבקות שמשון קרית גת</t>
  </si>
  <si>
    <t>העמותה לקידום החינוך התרבות והספורט בג'וליס</t>
  </si>
  <si>
    <t>כפפות הזהב קרית שמונה</t>
  </si>
  <si>
    <t>ברידג ירושלים</t>
  </si>
  <si>
    <t>מועדון ספורט לקידום הספורט בשפרעם</t>
  </si>
  <si>
    <t>מועדון סופטבול תל אביב</t>
  </si>
  <si>
    <t>מועדון כדורגל כפר מנדא (ע</t>
  </si>
  <si>
    <t>גלאו</t>
  </si>
  <si>
    <t>הפועל איאן קלנסואה</t>
  </si>
  <si>
    <t>עמותת הפועל כפר ברא לקידום הכדורגל והספורט</t>
  </si>
  <si>
    <t>עמותת גולשי העפיפון ישראל</t>
  </si>
  <si>
    <t>עמותה לקידום הספורט בקרית היובל ירושלים</t>
  </si>
  <si>
    <t>עמותה לפיתוח הרוגבי בירושלים</t>
  </si>
  <si>
    <t>ארגון סופטבול יהודאי</t>
  </si>
  <si>
    <t>מועדון הוקי גלגליות נס ציונה</t>
  </si>
  <si>
    <t>עמותת כדורת עפולה</t>
  </si>
  <si>
    <t>ידידי עמותת ספיישל אולימפיקס</t>
  </si>
  <si>
    <t>עמותת ספורט של המועצה האזורית באר טוביה לתושביה</t>
  </si>
  <si>
    <t>עמותת כדורת ראשונים</t>
  </si>
  <si>
    <t>מכבי מועדון התעמלות בקעת אונו</t>
  </si>
  <si>
    <t>אריה לבן קריית ביאליק</t>
  </si>
  <si>
    <t>אולימפיק- עמותה לקידום תרבות הספורט ביפיע</t>
  </si>
  <si>
    <t>העמותה לפיתוח ענף הכדורסל בכרמל</t>
  </si>
  <si>
    <t>מועדון הוקי מטולה</t>
  </si>
  <si>
    <t>העמותה לקידום הטניס המקצועי ביהוד מונסון ואור יהוד</t>
  </si>
  <si>
    <t>מועדון ניווט כרמל</t>
  </si>
  <si>
    <t>עמותת ספורט רב גילאי דבורייה</t>
  </si>
  <si>
    <t>אלאהלי לחינוך ג'ת</t>
  </si>
  <si>
    <t>עמותת טריאתלון אילתים</t>
  </si>
  <si>
    <t>מועדון ספורט גאה תל אביב</t>
  </si>
  <si>
    <t>העמותה לקידום הספורט בני מג'אר</t>
  </si>
  <si>
    <t>מעאן לספורט טוראן</t>
  </si>
  <si>
    <t>עמותת מכבי אחי אכסאל</t>
  </si>
  <si>
    <t>עצמה חולון</t>
  </si>
  <si>
    <t>מועדון הוקי גלגליות קרית ביאליק</t>
  </si>
  <si>
    <t>פאגסוס- אומנויות לחימה</t>
  </si>
  <si>
    <t>אולטימייט פיס - מזרח תיכון</t>
  </si>
  <si>
    <t>לוד רנג'רס</t>
  </si>
  <si>
    <t>מועדון כדורגל ביתר יבנה</t>
  </si>
  <si>
    <t>מועדון ספורט מכבי כפר סבא</t>
  </si>
  <si>
    <t>cohen brothers</t>
  </si>
  <si>
    <t>הפועל פתח תקוה</t>
  </si>
  <si>
    <t>לב הארי - לספורט מצויינות</t>
  </si>
  <si>
    <t>מועדון ספורט בנימינה גבעת עדה</t>
  </si>
  <si>
    <t>אשבאל כדורגל פרדיס</t>
  </si>
  <si>
    <t>עמותת מודיעין</t>
  </si>
  <si>
    <t>עוצמה - גולשי הגלים של הצפון</t>
  </si>
  <si>
    <t>עמותת קוני אנתי</t>
  </si>
  <si>
    <t>האופק להצלחה בשדרות והסביבה</t>
  </si>
  <si>
    <t>העמותה לקידום ספורטאי אקרו באזור השפלה</t>
  </si>
  <si>
    <t>פאוור קלאב עמותה לקידום הספורט בסח'נין</t>
  </si>
  <si>
    <t>איילות סאפ</t>
  </si>
  <si>
    <t>ווסט קוסט שוטו קאן - חוף המערבי</t>
  </si>
  <si>
    <t>מועדון מחליקי ראשון לציון</t>
  </si>
  <si>
    <t>רולרסקייט השרון</t>
  </si>
  <si>
    <t>עמותת מי לקידום השחיה</t>
  </si>
  <si>
    <t>מועדון כדורסל קרית גת</t>
  </si>
  <si>
    <t>טי אל וי סווים</t>
  </si>
  <si>
    <t>מועדון טניס O&amp;O</t>
  </si>
  <si>
    <t>טניס שולחן חיפה</t>
  </si>
  <si>
    <t>טלקוונדו - בקרית אונו</t>
  </si>
  <si>
    <t>העמותה לקידום כדורגל בנות עמק חפר והסביבה</t>
  </si>
  <si>
    <t>צעירי ג'ת -כדורסל</t>
  </si>
  <si>
    <t>העמותה לתעופת גוף ספורטיבית</t>
  </si>
  <si>
    <t>מועדון טיפוס ספורטיבי טופ אונו</t>
  </si>
  <si>
    <t>מטפסי קרית מלאכי באר טוביה והסביבה</t>
  </si>
  <si>
    <t>מועדון ספורט כדורגל בגין רמלה</t>
  </si>
  <si>
    <t>ספרטה אומנויות לחימה</t>
  </si>
  <si>
    <t>אייס דרים נס ציונה</t>
  </si>
  <si>
    <t>אקדמיה לטניס AK אשדוד</t>
  </si>
  <si>
    <t>סקייט חיפה</t>
  </si>
  <si>
    <t>מטפסי תל אביב</t>
  </si>
  <si>
    <t>עידן חדש לספורט בראמה</t>
  </si>
  <si>
    <t>מועדון בני אבו סנאן לכדורגל</t>
  </si>
  <si>
    <t>רואים את אופק בים בקריית חיים וקריית שמואל</t>
  </si>
  <si>
    <t>דרך הטאקוונדו</t>
  </si>
  <si>
    <t>סכום המתנה</t>
  </si>
  <si>
    <t>הגישו לפחות טופס אחד במערכת ולא אושרו לתמיכה בשנת 2020</t>
  </si>
  <si>
    <t>דניאל ו</t>
  </si>
  <si>
    <t>מכבי קרית ים מתנס</t>
  </si>
  <si>
    <t>הקרן למצוינות אולימפית בישראל בעמ</t>
  </si>
  <si>
    <t>המועדון הישראלי לצניחה חופשית</t>
  </si>
  <si>
    <t>מועדון הכדורת העירוני רעננה</t>
  </si>
  <si>
    <t>התאגדות לתרבות גופנית</t>
  </si>
  <si>
    <t>מועדון טניס רמת גן</t>
  </si>
  <si>
    <t>מועדון ריצה הסוללים ירושלים</t>
  </si>
  <si>
    <t>איגוד ספוטיבי דתי אליצור- המרכז</t>
  </si>
  <si>
    <t>תנועת מכבי ישראל</t>
  </si>
  <si>
    <t>מועדון ישראלי לרצים איילות</t>
  </si>
  <si>
    <t>מרכז הספורט הארצי ביתר</t>
  </si>
  <si>
    <t>מרכז דאיה נגב</t>
  </si>
  <si>
    <t>מרכז דאייה מגידו</t>
  </si>
  <si>
    <t>מכבי זכרון יעקוב</t>
  </si>
  <si>
    <t>עצמה- המרכז לאגודות ספורט עצמאיות</t>
  </si>
  <si>
    <t>מועדון ימי חדרה</t>
  </si>
  <si>
    <t>ספיישל אולימפיקס ישראל</t>
  </si>
  <si>
    <t>מועדון הכרמל טניס חיפה</t>
  </si>
  <si>
    <t>סקציה לשחייה מרכז ספורט ונופש נס-ציונה</t>
  </si>
  <si>
    <t>האגודה לספורט על הקרח חיפה רבתי</t>
  </si>
  <si>
    <t>מועדון שחמט- אליצור ירושלים</t>
  </si>
  <si>
    <t>מועדון הכדורגל מכבי צור שלום</t>
  </si>
  <si>
    <t>הפועל חיפה- הר הכרמל</t>
  </si>
  <si>
    <t>מועדון טריאתלון איילות- תל אביב דן</t>
  </si>
  <si>
    <t>התאחדות הישראלית לברידג'- סניף הקריות</t>
  </si>
  <si>
    <t>עמותת אתגרים</t>
  </si>
  <si>
    <t>עמותת כפר קאסם לחרשים וליקויי שמיעה</t>
  </si>
  <si>
    <t>קידום ספורט הנכים באשדוד</t>
  </si>
  <si>
    <t>מועדון ספורט הפועל אורנית</t>
  </si>
  <si>
    <t>בראבו, עמותהה</t>
  </si>
  <si>
    <t>מכבי צעירי מטולה</t>
  </si>
  <si>
    <t>קריקט רעננה</t>
  </si>
  <si>
    <t>מועדון שחמט חיפה והשכונות</t>
  </si>
  <si>
    <t>מועדון אלון</t>
  </si>
  <si>
    <t>כפפות הזהב כפר כנא</t>
  </si>
  <si>
    <t>סקציית שחייה באר שבע</t>
  </si>
  <si>
    <t>העמותה לקידום הספורט, החינוך והחברה בקדימה צורן</t>
  </si>
  <si>
    <t>עמותה לקידום הספורט באשקלון</t>
  </si>
  <si>
    <t>מכבי מועדון טניס לצעירי הרצליה</t>
  </si>
  <si>
    <t>אלביראק לקידום הספורט בתרשיחא</t>
  </si>
  <si>
    <t>אלפא דאנס ספורט אקדמי</t>
  </si>
  <si>
    <t>איזי גו'דו-הרצליה</t>
  </si>
  <si>
    <t>מועדון נוער ומבוגרים כדורסל בית דגן</t>
  </si>
  <si>
    <t>עמותת קודוקאן מרכז ישראל</t>
  </si>
  <si>
    <t>ספורטאי הוד השרון - עמותה להתעמלות ולספורט</t>
  </si>
  <si>
    <t>עמותת מ.ס בת ים כדורגל 2003</t>
  </si>
  <si>
    <t>מ.ס.ד.ר יפו תא</t>
  </si>
  <si>
    <t>העמותה לקידום הספורט בנחלת יהודה</t>
  </si>
  <si>
    <t>העמותה לחינוך תרבות וספורט בכפר סמיע</t>
  </si>
  <si>
    <t>מועדון ספורט צעירי חולון</t>
  </si>
  <si>
    <t>מועדוני או-שו (קונג- פו) רחובות</t>
  </si>
  <si>
    <t>מכבי גמאל עין מאהל</t>
  </si>
  <si>
    <t>מכבי עירוני</t>
  </si>
  <si>
    <t>מכבי בני שעריים ע</t>
  </si>
  <si>
    <t>מועדון הכדורגל לנשים מכבי צור שלום ביאליק</t>
  </si>
  <si>
    <t>עמותה לקידום ילדים לאליפויות בספורט ביקנעם</t>
  </si>
  <si>
    <t>מועדון רוגבי יזרעאל גלבוע</t>
  </si>
  <si>
    <t>הפועל שחייה בת ים</t>
  </si>
  <si>
    <t>בית הספר לאגרוף ולאומנויות לחימה עכו</t>
  </si>
  <si>
    <t>עמותת ספורט בכפר בועיינה נוג'ידאת</t>
  </si>
  <si>
    <t>הפועל נתניה כדור יד</t>
  </si>
  <si>
    <t>עמותת צ'רניאק לשחמט תל אביב יפו</t>
  </si>
  <si>
    <t>הפועל עכו כדורסל</t>
  </si>
  <si>
    <t>מרכז ימי זבולון נתניה</t>
  </si>
  <si>
    <t>עמותת מוסמוספורט - מעלה עירון ער</t>
  </si>
  <si>
    <t>עמותה לקידום הכדורסל במתנ</t>
  </si>
  <si>
    <t>עמותת ספורט ליאו באק</t>
  </si>
  <si>
    <t>העמותה לקידום הספורט באזור</t>
  </si>
  <si>
    <t>מועדון ארוחת הבוקר ירושלים- עמותה לקידום הריצה</t>
  </si>
  <si>
    <t>עמותת טניס שולחן 2007 נתניה</t>
  </si>
  <si>
    <t>אגודת ספורט רמת אליהו כדורגל מחלקת נוער</t>
  </si>
  <si>
    <t>עמותה לקידום ספורט ופנאי בבת ים</t>
  </si>
  <si>
    <t>מהר לעמק</t>
  </si>
  <si>
    <t>העמותה לקידום הספורט ערבה</t>
  </si>
  <si>
    <t>צעירים למען הכדורגל בנשר</t>
  </si>
  <si>
    <t>מכבי טורעאן</t>
  </si>
  <si>
    <t>קידום ספורט טניס-שולחן הפועל-אילת</t>
  </si>
  <si>
    <t>נערי מכבי</t>
  </si>
  <si>
    <t>העמותה לקידום ספורט הקליעה למטרה בהרצליה</t>
  </si>
  <si>
    <t>העמותה לקידום הספורט במועצה האזורית גזר</t>
  </si>
  <si>
    <t>עמותת הוקי חולון</t>
  </si>
  <si>
    <t>איחוד בני ג'ת</t>
  </si>
  <si>
    <t>ותיקי כנא לספורט ותרבות</t>
  </si>
  <si>
    <t>העמותה לקידום הקליעה והספורט ברחובות</t>
  </si>
  <si>
    <t>נגב פוטבול</t>
  </si>
  <si>
    <t>מכבי פרדס כץ ער</t>
  </si>
  <si>
    <t>היוזמה החינוכית ספורטיבית (שער שיוויון)</t>
  </si>
  <si>
    <t>עמותה עירונית לספורט בצפת</t>
  </si>
  <si>
    <t>מועדון פוטבול ירושלים</t>
  </si>
  <si>
    <t>אורות חיפה - בית ספר להתעמלות ואקרובטיקה</t>
  </si>
  <si>
    <t>עמותת ספורטאי שוגון קראטה מודיעין</t>
  </si>
  <si>
    <t>מכבי עמי ספורט ערד</t>
  </si>
  <si>
    <t>עמותת מכבי אחווה ירכא</t>
  </si>
  <si>
    <t>גמלים בבאר שבע</t>
  </si>
  <si>
    <t>עמותת שלום לקידום הספורט חורה</t>
  </si>
  <si>
    <t>עמותת איאן קלנסואה שחייה</t>
  </si>
  <si>
    <t>העמותה לחינוך וספורט הישגי מכבי אשקלון</t>
  </si>
  <si>
    <t>עמותת הלוחם והרוח איגרוף תאילנדי וקרב מגע - אזור ה</t>
  </si>
  <si>
    <t>אגודת הנוער והשחייה סחנין</t>
  </si>
  <si>
    <t>אוהדי הספורט הקסמאווי</t>
  </si>
  <si>
    <t>מכבי דיר אל אסד</t>
  </si>
  <si>
    <t>מכבי Road Runner</t>
  </si>
  <si>
    <t>מועדון השחמט שוהם</t>
  </si>
  <si>
    <t>העמותה לספורט איגרוף ומחול חיפה</t>
  </si>
  <si>
    <t>מעופפי חיפה</t>
  </si>
  <si>
    <t>עמותת רמת הגולן לקידום החינוך והספורט</t>
  </si>
  <si>
    <t>עמותת הנוער לספורט ביהוד</t>
  </si>
  <si>
    <t>עמותת הוקי גדרה</t>
  </si>
  <si>
    <t>מועדון בדמינטון באר שבע</t>
  </si>
  <si>
    <t>כדורי טאקוונדו ירושלים</t>
  </si>
  <si>
    <t>עמותה לקידום הספורט בשפיר</t>
  </si>
  <si>
    <t>עמותת הוקי פת</t>
  </si>
  <si>
    <t>אלפרוק - העמותה לטיפוח וקידום ספורט ותרבות</t>
  </si>
  <si>
    <t>מכבי עמי ספורט אילת האבקות אומנויות לחימה</t>
  </si>
  <si>
    <t>עמותת האחים לקידום הכדורגל ביישוב שעב</t>
  </si>
  <si>
    <t>ג'מיים הפועל אילת בשחייה</t>
  </si>
  <si>
    <t>העמותה לקידום תחום הספורט בכפר יונה</t>
  </si>
  <si>
    <t>רינבוקאן לקראטה וספורט</t>
  </si>
  <si>
    <t>מועדון קליעה נשק הצפון</t>
  </si>
  <si>
    <t>ביתר אשדוד - כדורגל</t>
  </si>
  <si>
    <t>הפועל ג'ימנסטיק ת"א יפו</t>
  </si>
  <si>
    <t>כוכבי קלאסיקו כדורגל</t>
  </si>
  <si>
    <t>מועדון השחמט גני תקווה</t>
  </si>
  <si>
    <t>מועדון הראשונים לשחייה</t>
  </si>
  <si>
    <t>מועדון ספורט נחל שורק</t>
  </si>
  <si>
    <t>העמותה לקידום הכדורעף משחקי הרשת והספורט</t>
  </si>
  <si>
    <t>ספורטאי המחר הזורח - בועיינה נוג'ידאת</t>
  </si>
  <si>
    <t>אלסנדרה לקידום החינוך, התרבות והספורט</t>
  </si>
  <si>
    <t>מועדון רוגבי ממוטות מנשה</t>
  </si>
  <si>
    <t>מועדון ספורט עצמה כרמיאל</t>
  </si>
  <si>
    <t>פוטבול אמריקאי קרית אונו וולבס</t>
  </si>
  <si>
    <t>אושרו במערכת ולא מצויים ברשימה לתשלום 2020 כי לא היו ב- 2019</t>
  </si>
  <si>
    <t>חחח</t>
  </si>
  <si>
    <t>תמיכה 2020</t>
  </si>
  <si>
    <t>ביצוע בפועל ינואר- אוקטובר 2020</t>
  </si>
  <si>
    <t>ייעוד "רווחים" (רק בעמודת תקציב 2020 מעודכן)</t>
  </si>
  <si>
    <t>תרומות ודמי חסות - בכסף בלבד</t>
  </si>
  <si>
    <t>תפקיד</t>
  </si>
  <si>
    <t>ביצוע 2019</t>
  </si>
  <si>
    <t>שיעור הנה"כ ביצוע:</t>
  </si>
  <si>
    <t>ביצוע 19</t>
  </si>
  <si>
    <t>פירוט עלות שווי מתנדבים ניהולי ביצוע ינואר אוקטובר</t>
  </si>
  <si>
    <t>פירוט עלות שווי מתנדבים ניהולי צפי נוב-דצמ</t>
  </si>
  <si>
    <t>פירוט עלות שווי מתנדבים כללי צפי נוב-דצמ</t>
  </si>
  <si>
    <t>מרכז הפועל</t>
  </si>
  <si>
    <t>מרכז אליצור</t>
  </si>
  <si>
    <t>מרכז מכבי</t>
  </si>
  <si>
    <t>מועדון ישראלי לרצים "איילות"</t>
  </si>
  <si>
    <t>מרכז ביתר</t>
  </si>
  <si>
    <t>מרכז עוצמה</t>
  </si>
  <si>
    <t>מועדון  שחמט-אליצור ירושלים</t>
  </si>
  <si>
    <t>מכבי צור שלום</t>
  </si>
  <si>
    <t>הפועל הר הכרמל</t>
  </si>
  <si>
    <t>מועדון תריאטלון איילות- תל אביב דן</t>
  </si>
  <si>
    <t>התאחדות הישראלית לברידג סניף הקריות</t>
  </si>
  <si>
    <t>א.ב.א אשדוד</t>
  </si>
  <si>
    <t>הפועל אורנית</t>
  </si>
  <si>
    <t>מועדון שחמ"ט אינטל</t>
  </si>
  <si>
    <t>העמותה לקידום הספורט החינוך והחברה בקדימה צורן</t>
  </si>
  <si>
    <t>קידום הספורט תרשיחא</t>
  </si>
  <si>
    <t>אלפר דנס</t>
  </si>
  <si>
    <t>איזי ג'ודו הרצליה</t>
  </si>
  <si>
    <t>מכבי בית דגן</t>
  </si>
  <si>
    <t>מ.ס.ד.ר יפו ת"א</t>
  </si>
  <si>
    <t>עמותה לקידום ילדים ביקנעם</t>
  </si>
  <si>
    <t>כפפות הזהב עכו</t>
  </si>
  <si>
    <t>הפועל בועיינה</t>
  </si>
  <si>
    <t>עמותת צ'רניאק לשחמט תל אביב</t>
  </si>
  <si>
    <t>עמותת מוסמוספרוט מעלה עירון</t>
  </si>
  <si>
    <t>עמותה לקידום הכדורסל במתנ"ס ראש פינה</t>
  </si>
  <si>
    <t>עמותת הספורט ליאובק</t>
  </si>
  <si>
    <t>עמותת טניס שולחן נתניה 2007</t>
  </si>
  <si>
    <t>קידום ספורט טניס שולחן הפועל אילת</t>
  </si>
  <si>
    <t>העמותה לקידום הקליעה הרצליה</t>
  </si>
  <si>
    <t>איחוד בני גת</t>
  </si>
  <si>
    <t>פוטבול נגב</t>
  </si>
  <si>
    <t>מועדון אריות ירושלים</t>
  </si>
  <si>
    <t>אלפארוק</t>
  </si>
  <si>
    <t xml:space="preserve">הקרן למצוינות אולימפית בישראל בע"מ </t>
  </si>
  <si>
    <t>טניס רמת גן</t>
  </si>
  <si>
    <t>דאייה-מרכז דאייה מגידו</t>
  </si>
  <si>
    <t>כפר קאסם לחרשים</t>
  </si>
  <si>
    <t>בראבו</t>
  </si>
  <si>
    <t>קידום הספורט אשקלון</t>
  </si>
  <si>
    <t>העמותה לקידום הספורו בנחלת יהודה</t>
  </si>
  <si>
    <t>מכבי עירוני "כרמי גת" קריית גת</t>
  </si>
  <si>
    <t>מכבי בני שעריים ע"ש יהודה מצהלה</t>
  </si>
  <si>
    <t>הפועל יזרעאל גלבוע</t>
  </si>
  <si>
    <t>מועדון ארוחת הבוקר</t>
  </si>
  <si>
    <t>רמת אליהו מחלקת נוער</t>
  </si>
  <si>
    <t>טורעאן</t>
  </si>
  <si>
    <t xml:space="preserve">ותיקי כנא לספורט  </t>
  </si>
  <si>
    <t>אורות חיפה- התעמלות ואקרובטיקה</t>
  </si>
  <si>
    <t>ספורטאי שוגון קראטה מודיעין</t>
  </si>
  <si>
    <t>עמותת אחווה ירכא</t>
  </si>
  <si>
    <t>העמותה לחינוך וספורט הישגי אשקלון</t>
  </si>
  <si>
    <t>עמותת הלוחם והרוח</t>
  </si>
  <si>
    <t xml:space="preserve">כפר קאסם </t>
  </si>
  <si>
    <t>עמותת רמת הגולן לקידום הספורט</t>
  </si>
  <si>
    <t>גלגליות יהוד</t>
  </si>
  <si>
    <t>עמותת הוקי פתח תקווה</t>
  </si>
  <si>
    <t>עמותת האחים לקידום הכדורגל בשעב</t>
  </si>
  <si>
    <t>גמים הפועל אילת בשחיה</t>
  </si>
  <si>
    <t>מועדון שחמט גני תקווה</t>
  </si>
  <si>
    <t>מועודן הראשונים לשחיה</t>
  </si>
  <si>
    <t>ספורטאי המחר הזורח</t>
  </si>
  <si>
    <t>שולמה מקדמה עד 28.10.20</t>
  </si>
  <si>
    <t>צפי ביצוע נוב-דצמ 2020</t>
  </si>
</sst>
</file>

<file path=xl/styles.xml><?xml version="1.0" encoding="utf-8"?>
<styleSheet xmlns="http://schemas.openxmlformats.org/spreadsheetml/2006/main">
  <numFmts count="4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 * #,##0.0_ ;_ * \-#,##0.0_ ;_ * &quot;-&quot;??_ ;_ @_ "/>
    <numFmt numFmtId="178" formatCode="_ * #,##0_ ;_ * \-#,##0_ ;_ * &quot;-&quot;??_ ;_ @_ "/>
    <numFmt numFmtId="179" formatCode="#,##0.0"/>
    <numFmt numFmtId="180" formatCode="&quot;₪&quot;\ #,##0"/>
    <numFmt numFmtId="181" formatCode="_(* #,##0_);_(* \(#,##0\);_(* &quot;-&quot;??_);_(@_)"/>
    <numFmt numFmtId="182" formatCode="_-* #,##0_-;\-* #,##0_-;_-* &quot;-&quot;??_-;_-@_-"/>
    <numFmt numFmtId="183" formatCode="0_)"/>
    <numFmt numFmtId="184" formatCode="#,##0.000"/>
    <numFmt numFmtId="185" formatCode="#,##0.0000"/>
    <numFmt numFmtId="186" formatCode="0.0"/>
    <numFmt numFmtId="187" formatCode="_ * #,##0.000_ ;_ * \-#,##0.000_ ;_ * &quot;-&quot;??_ ;_ @_ "/>
    <numFmt numFmtId="188" formatCode="_ * #,##0.0000_ ;_ * \-#,##0.0000_ ;_ * &quot;-&quot;??_ ;_ @_ "/>
    <numFmt numFmtId="189" formatCode="_ * #,##0.00000_ ;_ * \-#,##0.00000_ ;_ * &quot;-&quot;??_ ;_ @_ "/>
    <numFmt numFmtId="190" formatCode="_ * #,##0.000000_ ;_ * \-#,##0.000000_ ;_ * &quot;-&quot;??_ ;_ @_ "/>
    <numFmt numFmtId="191" formatCode="_ * #,##0.0000000_ ;_ * \-#,##0.0000000_ ;_ * &quot;-&quot;??_ ;_ @_ "/>
    <numFmt numFmtId="192" formatCode="_ * #,##0.00000000_ ;_ * \-#,##0.00000000_ ;_ * &quot;-&quot;??_ ;_ @_ "/>
    <numFmt numFmtId="193" formatCode="_ * #,##0.000000000_ ;_ * \-#,##0.000000000_ ;_ * &quot;-&quot;??_ ;_ @_ "/>
    <numFmt numFmtId="194" formatCode="_ * #,##0.0000000000_ ;_ * \-#,##0.0000000000_ ;_ * &quot;-&quot;??_ ;_ @_ "/>
    <numFmt numFmtId="195" formatCode="_ * #,##0.00000000000_ ;_ * \-#,##0.00000000000_ ;_ * &quot;-&quot;??_ ;_ @_ "/>
    <numFmt numFmtId="196" formatCode="_ * #,##0.000000000000_ ;_ * \-#,##0.000000000000_ ;_ * &quot;-&quot;??_ ;_ @_ "/>
    <numFmt numFmtId="197" formatCode="_ * #,##0.0000000000000_ ;_ * \-#,##0.0000000000000_ ;_ * &quot;-&quot;??_ ;_ @_ "/>
    <numFmt numFmtId="198" formatCode="_(* #,##0.0_);_(* \(#,##0.0\);_(* &quot;-&quot;??_);_(@_)"/>
    <numFmt numFmtId="199" formatCode="_(* #,##0.000_);_(* \(#,##0.000\);_(* &quot;-&quot;??_);_(@_)"/>
    <numFmt numFmtId="200" formatCode="_(* #,##0.0000_);_(* \(#,##0.0000\);_(* &quot;-&quot;??_);_(@_)"/>
    <numFmt numFmtId="201" formatCode="0.000%"/>
  </numFmts>
  <fonts count="8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color indexed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2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2"/>
      <name val="HEBMED"/>
      <family val="0"/>
    </font>
    <font>
      <b/>
      <sz val="18"/>
      <name val="Arial"/>
      <family val="2"/>
    </font>
    <font>
      <b/>
      <sz val="14"/>
      <name val="David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4"/>
      <color indexed="8"/>
      <name val="Arial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1"/>
      <color indexed="30"/>
      <name val="Arial"/>
      <family val="2"/>
    </font>
    <font>
      <sz val="11"/>
      <color indexed="60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2"/>
      <color indexed="8"/>
      <name val="HEBMED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4"/>
      <color theme="1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  <font>
      <sz val="11"/>
      <color rgb="FF0070C0"/>
      <name val="Arial"/>
      <family val="2"/>
    </font>
    <font>
      <sz val="11"/>
      <color rgb="FFC00000"/>
      <name val="Calibri"/>
      <family val="2"/>
    </font>
    <font>
      <sz val="10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HEBMED"/>
      <family val="0"/>
    </font>
    <font>
      <sz val="10"/>
      <color theme="1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9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1" applyNumberFormat="0" applyFon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41" fontId="0" fillId="0" borderId="0" applyFont="0" applyFill="0" applyBorder="0" applyAlignment="0" applyProtection="0"/>
    <xf numFmtId="0" fontId="68" fillId="30" borderId="2" applyNumberFormat="0" applyAlignment="0" applyProtection="0"/>
    <xf numFmtId="0" fontId="69" fillId="31" borderId="0" applyNumberFormat="0" applyBorder="0" applyAlignment="0" applyProtection="0"/>
    <xf numFmtId="0" fontId="70" fillId="32" borderId="8" applyNumberFormat="0" applyAlignment="0" applyProtection="0"/>
    <xf numFmtId="0" fontId="71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9" fontId="0" fillId="0" borderId="10" xfId="39" applyFont="1" applyFill="1" applyBorder="1" applyAlignment="1">
      <alignment/>
    </xf>
    <xf numFmtId="178" fontId="0" fillId="0" borderId="0" xfId="0" applyNumberFormat="1" applyAlignment="1">
      <alignment/>
    </xf>
    <xf numFmtId="9" fontId="0" fillId="0" borderId="0" xfId="39" applyFont="1" applyAlignment="1">
      <alignment/>
    </xf>
    <xf numFmtId="180" fontId="16" fillId="0" borderId="10" xfId="38" applyNumberFormat="1" applyFont="1" applyFill="1" applyBorder="1" applyAlignment="1" applyProtection="1">
      <alignment horizontal="right" vertical="center" wrapText="1"/>
      <protection/>
    </xf>
    <xf numFmtId="180" fontId="16" fillId="0" borderId="10" xfId="38" applyNumberFormat="1" applyFont="1" applyFill="1" applyBorder="1" applyAlignment="1" applyProtection="1">
      <alignment horizontal="center" vertical="center" wrapText="1"/>
      <protection/>
    </xf>
    <xf numFmtId="180" fontId="16" fillId="0" borderId="0" xfId="38" applyNumberFormat="1" applyFont="1" applyFill="1" applyBorder="1" applyAlignment="1" applyProtection="1">
      <alignment horizontal="center" vertical="center" wrapText="1"/>
      <protection/>
    </xf>
    <xf numFmtId="180" fontId="16" fillId="33" borderId="0" xfId="38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181" fontId="0" fillId="0" borderId="0" xfId="33" applyNumberFormat="1" applyFont="1" applyAlignment="1">
      <alignment/>
    </xf>
    <xf numFmtId="182" fontId="0" fillId="0" borderId="0" xfId="0" applyNumberFormat="1" applyAlignment="1">
      <alignment/>
    </xf>
    <xf numFmtId="178" fontId="72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73" fillId="0" borderId="10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73" fillId="8" borderId="10" xfId="0" applyFont="1" applyFill="1" applyBorder="1" applyAlignment="1">
      <alignment horizontal="right"/>
    </xf>
    <xf numFmtId="0" fontId="17" fillId="8" borderId="10" xfId="0" applyFont="1" applyFill="1" applyBorder="1" applyAlignment="1">
      <alignment horizontal="right"/>
    </xf>
    <xf numFmtId="0" fontId="17" fillId="8" borderId="10" xfId="0" applyFont="1" applyFill="1" applyBorder="1" applyAlignment="1">
      <alignment/>
    </xf>
    <xf numFmtId="0" fontId="0" fillId="8" borderId="0" xfId="0" applyFill="1" applyAlignment="1">
      <alignment/>
    </xf>
    <xf numFmtId="0" fontId="73" fillId="0" borderId="10" xfId="0" applyNumberFormat="1" applyFont="1" applyFill="1" applyBorder="1" applyAlignment="1">
      <alignment horizontal="right"/>
    </xf>
    <xf numFmtId="0" fontId="75" fillId="0" borderId="10" xfId="0" applyFont="1" applyFill="1" applyBorder="1" applyAlignment="1">
      <alignment/>
    </xf>
    <xf numFmtId="181" fontId="0" fillId="33" borderId="0" xfId="33" applyNumberFormat="1" applyFont="1" applyFill="1" applyAlignment="1">
      <alignment/>
    </xf>
    <xf numFmtId="0" fontId="17" fillId="0" borderId="10" xfId="0" applyFont="1" applyFill="1" applyBorder="1" applyAlignment="1">
      <alignment wrapText="1"/>
    </xf>
    <xf numFmtId="0" fontId="0" fillId="0" borderId="10" xfId="0" applyNumberFormat="1" applyFill="1" applyBorder="1" applyAlignment="1">
      <alignment horizontal="right"/>
    </xf>
    <xf numFmtId="0" fontId="13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6" fillId="0" borderId="10" xfId="0" applyFont="1" applyFill="1" applyBorder="1" applyAlignment="1">
      <alignment horizontal="right"/>
    </xf>
    <xf numFmtId="0" fontId="76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>
      <alignment horizontal="right"/>
    </xf>
    <xf numFmtId="0" fontId="73" fillId="0" borderId="10" xfId="0" applyFont="1" applyFill="1" applyBorder="1" applyAlignment="1">
      <alignment horizontal="right"/>
    </xf>
    <xf numFmtId="0" fontId="77" fillId="0" borderId="10" xfId="37" applyFont="1" applyFill="1" applyBorder="1" applyAlignment="1">
      <alignment horizontal="right" vertical="top"/>
      <protection/>
    </xf>
    <xf numFmtId="0" fontId="8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 vertical="center" readingOrder="2"/>
    </xf>
    <xf numFmtId="0" fontId="17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17" fillId="33" borderId="10" xfId="0" applyFont="1" applyFill="1" applyBorder="1" applyAlignment="1">
      <alignment horizontal="right"/>
    </xf>
    <xf numFmtId="0" fontId="1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78" fontId="0" fillId="33" borderId="0" xfId="0" applyNumberFormat="1" applyFill="1" applyAlignment="1">
      <alignment/>
    </xf>
    <xf numFmtId="0" fontId="8" fillId="8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right"/>
    </xf>
    <xf numFmtId="0" fontId="17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17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7" fillId="3" borderId="10" xfId="0" applyFont="1" applyFill="1" applyBorder="1" applyAlignment="1">
      <alignment horizontal="right"/>
    </xf>
    <xf numFmtId="0" fontId="17" fillId="3" borderId="10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/>
    </xf>
    <xf numFmtId="181" fontId="79" fillId="0" borderId="0" xfId="33" applyNumberFormat="1" applyFont="1" applyAlignment="1">
      <alignment/>
    </xf>
    <xf numFmtId="182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0" fillId="0" borderId="0" xfId="0" applyFont="1" applyAlignment="1">
      <alignment/>
    </xf>
    <xf numFmtId="0" fontId="0" fillId="0" borderId="10" xfId="0" applyFont="1" applyBorder="1" applyAlignment="1">
      <alignment/>
    </xf>
    <xf numFmtId="178" fontId="0" fillId="0" borderId="0" xfId="33" applyNumberFormat="1" applyFont="1" applyAlignment="1">
      <alignment horizontal="center"/>
    </xf>
    <xf numFmtId="178" fontId="0" fillId="0" borderId="10" xfId="33" applyNumberFormat="1" applyFont="1" applyBorder="1" applyAlignment="1">
      <alignment/>
    </xf>
    <xf numFmtId="178" fontId="0" fillId="0" borderId="0" xfId="33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82" fontId="0" fillId="33" borderId="0" xfId="0" applyNumberFormat="1" applyFill="1" applyAlignment="1">
      <alignment/>
    </xf>
    <xf numFmtId="0" fontId="17" fillId="0" borderId="11" xfId="0" applyFont="1" applyFill="1" applyBorder="1" applyAlignment="1">
      <alignment/>
    </xf>
    <xf numFmtId="0" fontId="81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178" fontId="0" fillId="0" borderId="0" xfId="0" applyNumberFormat="1" applyFill="1" applyAlignment="1">
      <alignment/>
    </xf>
    <xf numFmtId="9" fontId="0" fillId="0" borderId="0" xfId="39" applyFont="1" applyFill="1" applyAlignment="1">
      <alignment/>
    </xf>
    <xf numFmtId="181" fontId="0" fillId="0" borderId="0" xfId="33" applyNumberFormat="1" applyFont="1" applyFill="1" applyAlignment="1">
      <alignment/>
    </xf>
    <xf numFmtId="182" fontId="0" fillId="0" borderId="0" xfId="0" applyNumberFormat="1" applyFill="1" applyAlignment="1">
      <alignment/>
    </xf>
    <xf numFmtId="0" fontId="21" fillId="0" borderId="12" xfId="0" applyNumberFormat="1" applyFont="1" applyFill="1" applyBorder="1" applyAlignment="1" applyProtection="1">
      <alignment wrapText="1"/>
      <protection/>
    </xf>
    <xf numFmtId="4" fontId="21" fillId="0" borderId="12" xfId="0" applyNumberFormat="1" applyFont="1" applyFill="1" applyBorder="1" applyAlignment="1" applyProtection="1">
      <alignment wrapText="1"/>
      <protection/>
    </xf>
    <xf numFmtId="178" fontId="82" fillId="0" borderId="0" xfId="0" applyNumberFormat="1" applyFont="1" applyAlignment="1">
      <alignment horizontal="center"/>
    </xf>
    <xf numFmtId="178" fontId="0" fillId="0" borderId="0" xfId="33" applyNumberFormat="1" applyFont="1" applyFill="1" applyAlignment="1">
      <alignment/>
    </xf>
    <xf numFmtId="178" fontId="82" fillId="0" borderId="10" xfId="0" applyNumberFormat="1" applyFont="1" applyBorder="1" applyAlignment="1">
      <alignment horizontal="center"/>
    </xf>
    <xf numFmtId="0" fontId="17" fillId="33" borderId="10" xfId="0" applyNumberFormat="1" applyFont="1" applyFill="1" applyBorder="1" applyAlignment="1" applyProtection="1">
      <alignment horizontal="right" wrapText="1"/>
      <protection/>
    </xf>
    <xf numFmtId="178" fontId="0" fillId="26" borderId="10" xfId="33" applyNumberFormat="1" applyFont="1" applyFill="1" applyBorder="1" applyAlignment="1">
      <alignment/>
    </xf>
    <xf numFmtId="0" fontId="83" fillId="33" borderId="10" xfId="0" applyNumberFormat="1" applyFont="1" applyFill="1" applyBorder="1" applyAlignment="1" applyProtection="1">
      <alignment wrapText="1"/>
      <protection/>
    </xf>
    <xf numFmtId="178" fontId="82" fillId="33" borderId="0" xfId="0" applyNumberFormat="1" applyFont="1" applyFill="1" applyAlignment="1">
      <alignment horizontal="center"/>
    </xf>
    <xf numFmtId="0" fontId="17" fillId="0" borderId="11" xfId="0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right"/>
    </xf>
    <xf numFmtId="178" fontId="0" fillId="0" borderId="10" xfId="0" applyNumberFormat="1" applyBorder="1" applyAlignment="1">
      <alignment/>
    </xf>
    <xf numFmtId="9" fontId="0" fillId="0" borderId="10" xfId="39" applyFont="1" applyBorder="1" applyAlignment="1">
      <alignment/>
    </xf>
    <xf numFmtId="181" fontId="0" fillId="0" borderId="10" xfId="33" applyNumberFormat="1" applyFont="1" applyBorder="1" applyAlignment="1">
      <alignment/>
    </xf>
    <xf numFmtId="0" fontId="0" fillId="33" borderId="0" xfId="0" applyFill="1" applyAlignment="1">
      <alignment/>
    </xf>
    <xf numFmtId="9" fontId="0" fillId="33" borderId="0" xfId="39" applyFont="1" applyFill="1" applyAlignment="1">
      <alignment/>
    </xf>
    <xf numFmtId="0" fontId="17" fillId="33" borderId="10" xfId="0" applyFont="1" applyFill="1" applyBorder="1" applyAlignment="1">
      <alignment/>
    </xf>
    <xf numFmtId="0" fontId="1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/>
    </xf>
    <xf numFmtId="0" fontId="17" fillId="33" borderId="10" xfId="0" applyNumberFormat="1" applyFont="1" applyFill="1" applyBorder="1" applyAlignment="1">
      <alignment horizontal="right"/>
    </xf>
    <xf numFmtId="0" fontId="0" fillId="33" borderId="10" xfId="0" applyNumberFormat="1" applyFill="1" applyBorder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81" fontId="0" fillId="0" borderId="0" xfId="0" applyNumberFormat="1" applyFill="1" applyAlignment="1">
      <alignment/>
    </xf>
    <xf numFmtId="9" fontId="0" fillId="0" borderId="0" xfId="39" applyFont="1" applyFill="1" applyBorder="1" applyAlignment="1">
      <alignment/>
    </xf>
    <xf numFmtId="178" fontId="82" fillId="0" borderId="0" xfId="0" applyNumberFormat="1" applyFont="1" applyBorder="1" applyAlignment="1">
      <alignment horizontal="center"/>
    </xf>
    <xf numFmtId="0" fontId="17" fillId="0" borderId="10" xfId="0" applyNumberFormat="1" applyFont="1" applyFill="1" applyBorder="1" applyAlignment="1" applyProtection="1">
      <alignment horizontal="right" wrapText="1"/>
      <protection/>
    </xf>
    <xf numFmtId="0" fontId="83" fillId="0" borderId="10" xfId="0" applyNumberFormat="1" applyFont="1" applyFill="1" applyBorder="1" applyAlignment="1" applyProtection="1">
      <alignment wrapText="1"/>
      <protection/>
    </xf>
    <xf numFmtId="178" fontId="0" fillId="0" borderId="0" xfId="33" applyNumberFormat="1" applyFont="1" applyFill="1" applyBorder="1" applyAlignment="1">
      <alignment/>
    </xf>
    <xf numFmtId="178" fontId="82" fillId="0" borderId="0" xfId="0" applyNumberFormat="1" applyFont="1" applyFill="1" applyBorder="1" applyAlignment="1">
      <alignment horizontal="center"/>
    </xf>
    <xf numFmtId="178" fontId="82" fillId="0" borderId="0" xfId="0" applyNumberFormat="1" applyFont="1" applyFill="1" applyAlignment="1">
      <alignment horizontal="center"/>
    </xf>
    <xf numFmtId="178" fontId="0" fillId="0" borderId="0" xfId="0" applyNumberFormat="1" applyBorder="1" applyAlignment="1">
      <alignment/>
    </xf>
    <xf numFmtId="9" fontId="0" fillId="0" borderId="0" xfId="39" applyFont="1" applyBorder="1" applyAlignment="1">
      <alignment/>
    </xf>
    <xf numFmtId="181" fontId="0" fillId="0" borderId="0" xfId="33" applyNumberFormat="1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56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56" fillId="0" borderId="10" xfId="0" applyNumberFormat="1" applyFont="1" applyFill="1" applyBorder="1" applyAlignment="1">
      <alignment horizontal="right"/>
    </xf>
    <xf numFmtId="0" fontId="84" fillId="0" borderId="10" xfId="0" applyFont="1" applyFill="1" applyBorder="1" applyAlignment="1">
      <alignment horizontal="right"/>
    </xf>
    <xf numFmtId="0" fontId="78" fillId="0" borderId="10" xfId="0" applyFont="1" applyFill="1" applyBorder="1" applyAlignment="1">
      <alignment horizontal="right" vertical="center" readingOrder="2"/>
    </xf>
    <xf numFmtId="0" fontId="78" fillId="0" borderId="10" xfId="0" applyFont="1" applyFill="1" applyBorder="1" applyAlignment="1">
      <alignment horizontal="right"/>
    </xf>
    <xf numFmtId="0" fontId="56" fillId="0" borderId="10" xfId="0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 applyProtection="1">
      <alignment horizontal="right" vertical="top"/>
      <protection/>
    </xf>
    <xf numFmtId="0" fontId="17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>
      <alignment horizontal="right"/>
    </xf>
    <xf numFmtId="0" fontId="85" fillId="0" borderId="10" xfId="0" applyFont="1" applyFill="1" applyBorder="1" applyAlignment="1">
      <alignment wrapText="1"/>
    </xf>
    <xf numFmtId="9" fontId="0" fillId="33" borderId="0" xfId="39" applyFont="1" applyFill="1" applyAlignment="1">
      <alignment/>
    </xf>
    <xf numFmtId="181" fontId="0" fillId="33" borderId="0" xfId="33" applyNumberFormat="1" applyFont="1" applyFill="1" applyAlignment="1">
      <alignment/>
    </xf>
    <xf numFmtId="178" fontId="0" fillId="33" borderId="0" xfId="33" applyNumberFormat="1" applyFont="1" applyFill="1" applyAlignment="1">
      <alignment/>
    </xf>
    <xf numFmtId="181" fontId="0" fillId="33" borderId="0" xfId="0" applyNumberFormat="1" applyFill="1" applyAlignment="1">
      <alignment/>
    </xf>
    <xf numFmtId="0" fontId="56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1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74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Fill="1" applyBorder="1" applyAlignment="1">
      <alignment/>
    </xf>
    <xf numFmtId="178" fontId="16" fillId="33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/>
      <protection locked="0"/>
    </xf>
    <xf numFmtId="0" fontId="15" fillId="0" borderId="14" xfId="0" applyFont="1" applyBorder="1" applyAlignment="1" applyProtection="1">
      <alignment vertical="center"/>
      <protection locked="0"/>
    </xf>
    <xf numFmtId="0" fontId="22" fillId="26" borderId="15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14" fontId="0" fillId="26" borderId="16" xfId="0" applyNumberFormat="1" applyFill="1" applyBorder="1" applyAlignment="1" applyProtection="1">
      <alignment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9" fontId="0" fillId="0" borderId="10" xfId="0" applyNumberFormat="1" applyFill="1" applyBorder="1" applyAlignment="1" applyProtection="1">
      <alignment/>
      <protection locked="0"/>
    </xf>
    <xf numFmtId="3" fontId="0" fillId="0" borderId="18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9" fontId="0" fillId="0" borderId="10" xfId="39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26" borderId="10" xfId="0" applyFont="1" applyFill="1" applyBorder="1" applyAlignment="1" applyProtection="1">
      <alignment wrapText="1"/>
      <protection locked="0"/>
    </xf>
    <xf numFmtId="0" fontId="86" fillId="0" borderId="10" xfId="0" applyFont="1" applyFill="1" applyBorder="1" applyAlignment="1" applyProtection="1">
      <alignment wrapText="1"/>
      <protection locked="0"/>
    </xf>
    <xf numFmtId="3" fontId="86" fillId="0" borderId="10" xfId="0" applyNumberFormat="1" applyFont="1" applyFill="1" applyBorder="1" applyAlignment="1" applyProtection="1">
      <alignment/>
      <protection locked="0"/>
    </xf>
    <xf numFmtId="9" fontId="86" fillId="0" borderId="10" xfId="39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3" fontId="8" fillId="0" borderId="10" xfId="0" applyNumberFormat="1" applyFont="1" applyBorder="1" applyAlignment="1" applyProtection="1">
      <alignment/>
      <protection locked="0"/>
    </xf>
    <xf numFmtId="9" fontId="0" fillId="0" borderId="10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3" fontId="0" fillId="34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 wrapText="1"/>
      <protection locked="0"/>
    </xf>
    <xf numFmtId="10" fontId="3" fillId="35" borderId="10" xfId="0" applyNumberFormat="1" applyFont="1" applyFill="1" applyBorder="1" applyAlignment="1" applyProtection="1">
      <alignment/>
      <protection locked="0"/>
    </xf>
    <xf numFmtId="9" fontId="3" fillId="35" borderId="1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0" fontId="12" fillId="0" borderId="19" xfId="0" applyFont="1" applyFill="1" applyBorder="1" applyAlignment="1" applyProtection="1">
      <alignment wrapText="1"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178" fontId="20" fillId="26" borderId="10" xfId="33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/>
      <protection locked="0"/>
    </xf>
    <xf numFmtId="0" fontId="0" fillId="0" borderId="18" xfId="0" applyFont="1" applyFill="1" applyBorder="1" applyAlignment="1" applyProtection="1">
      <alignment wrapText="1"/>
      <protection locked="0"/>
    </xf>
    <xf numFmtId="3" fontId="0" fillId="34" borderId="18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0" fillId="0" borderId="18" xfId="0" applyFont="1" applyFill="1" applyBorder="1" applyAlignment="1" applyProtection="1">
      <alignment horizontal="right"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wrapText="1"/>
      <protection locked="0"/>
    </xf>
    <xf numFmtId="0" fontId="9" fillId="0" borderId="11" xfId="0" applyFont="1" applyFill="1" applyBorder="1" applyAlignment="1" applyProtection="1">
      <alignment wrapText="1"/>
      <protection locked="0"/>
    </xf>
    <xf numFmtId="4" fontId="86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/>
      <protection locked="0"/>
    </xf>
    <xf numFmtId="201" fontId="0" fillId="0" borderId="0" xfId="39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9" fontId="0" fillId="0" borderId="10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9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78" fontId="87" fillId="0" borderId="0" xfId="33" applyNumberFormat="1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43" fontId="0" fillId="0" borderId="0" xfId="0" applyNumberForma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59" fillId="0" borderId="10" xfId="0" applyFont="1" applyBorder="1" applyAlignment="1" applyProtection="1">
      <alignment wrapText="1"/>
      <protection locked="0"/>
    </xf>
    <xf numFmtId="9" fontId="0" fillId="0" borderId="0" xfId="39" applyFont="1" applyAlignment="1" applyProtection="1">
      <alignment wrapText="1"/>
      <protection locked="0"/>
    </xf>
    <xf numFmtId="10" fontId="0" fillId="0" borderId="0" xfId="39" applyNumberFormat="1" applyFont="1" applyAlignment="1" applyProtection="1">
      <alignment/>
      <protection locked="0"/>
    </xf>
    <xf numFmtId="9" fontId="0" fillId="0" borderId="0" xfId="39" applyFont="1" applyAlignment="1" applyProtection="1">
      <alignment/>
      <protection locked="0"/>
    </xf>
    <xf numFmtId="0" fontId="0" fillId="26" borderId="10" xfId="0" applyFont="1" applyFill="1" applyBorder="1" applyAlignment="1" applyProtection="1">
      <alignment wrapText="1"/>
      <protection/>
    </xf>
    <xf numFmtId="3" fontId="0" fillId="26" borderId="10" xfId="0" applyNumberFormat="1" applyFill="1" applyBorder="1" applyAlignment="1" applyProtection="1">
      <alignment horizontal="right"/>
      <protection/>
    </xf>
    <xf numFmtId="3" fontId="0" fillId="26" borderId="10" xfId="0" applyNumberFormat="1" applyFill="1" applyBorder="1" applyAlignment="1" applyProtection="1">
      <alignment/>
      <protection/>
    </xf>
    <xf numFmtId="9" fontId="0" fillId="26" borderId="10" xfId="39" applyFont="1" applyFill="1" applyBorder="1" applyAlignment="1" applyProtection="1">
      <alignment/>
      <protection/>
    </xf>
    <xf numFmtId="3" fontId="0" fillId="26" borderId="18" xfId="0" applyNumberFormat="1" applyFont="1" applyFill="1" applyBorder="1" applyAlignment="1" applyProtection="1">
      <alignment horizontal="right"/>
      <protection/>
    </xf>
    <xf numFmtId="178" fontId="20" fillId="26" borderId="10" xfId="33" applyNumberFormat="1" applyFont="1" applyFill="1" applyBorder="1" applyAlignment="1" applyProtection="1">
      <alignment horizontal="right" wrapText="1"/>
      <protection/>
    </xf>
    <xf numFmtId="0" fontId="0" fillId="0" borderId="16" xfId="0" applyBorder="1" applyAlignment="1" applyProtection="1">
      <alignment horizontal="center"/>
      <protection locked="0"/>
    </xf>
    <xf numFmtId="0" fontId="3" fillId="26" borderId="10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Normal 2" xfId="36"/>
    <cellStyle name="Normal 2 2 2 2" xfId="37"/>
    <cellStyle name="Normal 4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dxfs count="24">
    <dxf>
      <font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rightToLeft="1" tabSelected="1" view="pageBreakPreview" zoomScaleSheetLayoutView="100" zoomScalePageLayoutView="0" workbookViewId="0" topLeftCell="A1">
      <pane ySplit="4" topLeftCell="A11" activePane="bottomLeft" state="frozen"/>
      <selection pane="topLeft" activeCell="A1" sqref="A1"/>
      <selection pane="bottomLeft" activeCell="D61" sqref="D61"/>
    </sheetView>
  </sheetViews>
  <sheetFormatPr defaultColWidth="8.8515625" defaultRowHeight="12.75"/>
  <cols>
    <col min="1" max="1" width="36.00390625" style="208" customWidth="1"/>
    <col min="2" max="2" width="18.57421875" style="208" customWidth="1"/>
    <col min="3" max="3" width="14.28125" style="153" customWidth="1"/>
    <col min="4" max="4" width="14.8515625" style="153" customWidth="1"/>
    <col min="5" max="5" width="11.00390625" style="153" bestFit="1" customWidth="1"/>
    <col min="6" max="6" width="12.57421875" style="153" customWidth="1"/>
    <col min="7" max="7" width="8.57421875" style="153" bestFit="1" customWidth="1"/>
    <col min="8" max="8" width="14.8515625" style="153" hidden="1" customWidth="1"/>
    <col min="9" max="9" width="8.8515625" style="153" customWidth="1"/>
    <col min="10" max="10" width="15.57421875" style="153" customWidth="1"/>
    <col min="11" max="16384" width="8.8515625" style="153" customWidth="1"/>
  </cols>
  <sheetData>
    <row r="1" spans="1:4" ht="9" customHeight="1">
      <c r="A1" s="150"/>
      <c r="B1" s="150"/>
      <c r="C1" s="151"/>
      <c r="D1" s="152"/>
    </row>
    <row r="2" spans="1:9" ht="23.25" customHeight="1" thickBot="1">
      <c r="A2" s="154"/>
      <c r="B2" s="154"/>
      <c r="C2" s="155" t="s">
        <v>26</v>
      </c>
      <c r="I2" s="156" t="s">
        <v>25</v>
      </c>
    </row>
    <row r="3" spans="1:7" ht="30" customHeight="1" thickBot="1">
      <c r="A3" s="157" t="s">
        <v>804</v>
      </c>
      <c r="B3" s="241" t="str">
        <f>INDEX(שם_עמותה,גיליון2!A5,0)</f>
        <v>כפר ורדים</v>
      </c>
      <c r="C3" s="241"/>
      <c r="D3" s="158">
        <f>INDEX(מספר_עמותה,גיליון2!A5,0)</f>
        <v>511602591</v>
      </c>
      <c r="F3" s="159" t="s">
        <v>2</v>
      </c>
      <c r="G3" s="160"/>
    </row>
    <row r="4" spans="1:8" ht="27">
      <c r="A4" s="161" t="s">
        <v>8</v>
      </c>
      <c r="B4" s="162" t="s">
        <v>1051</v>
      </c>
      <c r="C4" s="163" t="s">
        <v>805</v>
      </c>
      <c r="D4" s="163" t="s">
        <v>1047</v>
      </c>
      <c r="E4" s="164" t="s">
        <v>0</v>
      </c>
      <c r="F4" s="162" t="s">
        <v>1120</v>
      </c>
      <c r="G4" s="162" t="s">
        <v>12</v>
      </c>
      <c r="H4" s="163" t="s">
        <v>46</v>
      </c>
    </row>
    <row r="5" spans="1:8" ht="18.75" customHeight="1">
      <c r="A5" s="165" t="s">
        <v>14</v>
      </c>
      <c r="B5" s="165"/>
      <c r="C5" s="166"/>
      <c r="D5" s="166"/>
      <c r="E5" s="167"/>
      <c r="F5" s="168"/>
      <c r="G5" s="169"/>
      <c r="H5" s="170"/>
    </row>
    <row r="6" spans="1:8" ht="25.5">
      <c r="A6" s="171" t="s">
        <v>15</v>
      </c>
      <c r="B6" s="171"/>
      <c r="C6" s="171"/>
      <c r="D6" s="171"/>
      <c r="E6" s="172">
        <f aca="true" t="shared" si="0" ref="E6:E16">_xlfn.IFERROR(IF(AND(C6=0,D6=0),0,D6/C6),"")</f>
        <v>0</v>
      </c>
      <c r="F6" s="173"/>
      <c r="G6" s="172">
        <f aca="true" t="shared" si="1" ref="G6:G16">_xlfn.IFERROR(IF((F6+D6)=0,0,(F6+D6)/C6),"")</f>
        <v>0</v>
      </c>
      <c r="H6" s="170"/>
    </row>
    <row r="7" spans="1:8" ht="12.75">
      <c r="A7" s="171" t="s">
        <v>16</v>
      </c>
      <c r="B7" s="171"/>
      <c r="C7" s="174"/>
      <c r="D7" s="174"/>
      <c r="E7" s="172">
        <f t="shared" si="0"/>
        <v>0</v>
      </c>
      <c r="F7" s="173"/>
      <c r="G7" s="172">
        <f t="shared" si="1"/>
        <v>0</v>
      </c>
      <c r="H7" s="170"/>
    </row>
    <row r="8" spans="1:8" ht="12.75">
      <c r="A8" s="171" t="s">
        <v>17</v>
      </c>
      <c r="B8" s="171"/>
      <c r="C8" s="174"/>
      <c r="D8" s="174"/>
      <c r="E8" s="172">
        <f t="shared" si="0"/>
        <v>0</v>
      </c>
      <c r="F8" s="173"/>
      <c r="G8" s="172">
        <f t="shared" si="1"/>
        <v>0</v>
      </c>
      <c r="H8" s="170"/>
    </row>
    <row r="9" spans="1:8" ht="12.75">
      <c r="A9" s="171" t="s">
        <v>18</v>
      </c>
      <c r="B9" s="171"/>
      <c r="C9" s="174"/>
      <c r="D9" s="174"/>
      <c r="E9" s="172">
        <f t="shared" si="0"/>
        <v>0</v>
      </c>
      <c r="F9" s="173"/>
      <c r="G9" s="172">
        <f t="shared" si="1"/>
        <v>0</v>
      </c>
      <c r="H9" s="170"/>
    </row>
    <row r="10" spans="1:8" ht="12.75">
      <c r="A10" s="171" t="s">
        <v>19</v>
      </c>
      <c r="B10" s="171"/>
      <c r="C10" s="174"/>
      <c r="D10" s="174"/>
      <c r="E10" s="172">
        <f t="shared" si="0"/>
        <v>0</v>
      </c>
      <c r="F10" s="173"/>
      <c r="G10" s="172">
        <f t="shared" si="1"/>
        <v>0</v>
      </c>
      <c r="H10" s="170"/>
    </row>
    <row r="11" spans="1:8" ht="12.75">
      <c r="A11" s="171" t="s">
        <v>20</v>
      </c>
      <c r="B11" s="171"/>
      <c r="C11" s="174"/>
      <c r="D11" s="174"/>
      <c r="E11" s="172">
        <f t="shared" si="0"/>
        <v>0</v>
      </c>
      <c r="F11" s="173"/>
      <c r="G11" s="172">
        <f t="shared" si="1"/>
        <v>0</v>
      </c>
      <c r="H11" s="170"/>
    </row>
    <row r="12" spans="1:8" ht="12.75">
      <c r="A12" s="171" t="s">
        <v>21</v>
      </c>
      <c r="B12" s="171"/>
      <c r="C12" s="174"/>
      <c r="D12" s="174"/>
      <c r="E12" s="172">
        <f t="shared" si="0"/>
        <v>0</v>
      </c>
      <c r="F12" s="173"/>
      <c r="G12" s="172">
        <f t="shared" si="1"/>
        <v>0</v>
      </c>
      <c r="H12" s="170"/>
    </row>
    <row r="13" spans="1:8" ht="12.75">
      <c r="A13" s="171" t="s">
        <v>22</v>
      </c>
      <c r="B13" s="171"/>
      <c r="C13" s="174"/>
      <c r="D13" s="174"/>
      <c r="E13" s="172">
        <f t="shared" si="0"/>
        <v>0</v>
      </c>
      <c r="F13" s="173"/>
      <c r="G13" s="172">
        <f t="shared" si="1"/>
        <v>0</v>
      </c>
      <c r="H13" s="170"/>
    </row>
    <row r="14" spans="1:8" ht="12.75">
      <c r="A14" s="171" t="s">
        <v>23</v>
      </c>
      <c r="B14" s="171"/>
      <c r="C14" s="174"/>
      <c r="D14" s="174"/>
      <c r="E14" s="172">
        <f t="shared" si="0"/>
        <v>0</v>
      </c>
      <c r="F14" s="173"/>
      <c r="G14" s="172">
        <f t="shared" si="1"/>
        <v>0</v>
      </c>
      <c r="H14" s="170"/>
    </row>
    <row r="15" spans="1:8" ht="12.75">
      <c r="A15" s="175" t="s">
        <v>33</v>
      </c>
      <c r="B15" s="175"/>
      <c r="C15" s="174"/>
      <c r="D15" s="174"/>
      <c r="E15" s="172">
        <f t="shared" si="0"/>
        <v>0</v>
      </c>
      <c r="F15" s="173"/>
      <c r="G15" s="172">
        <f t="shared" si="1"/>
        <v>0</v>
      </c>
      <c r="H15" s="170"/>
    </row>
    <row r="16" spans="1:8" ht="12.75">
      <c r="A16" s="234" t="s">
        <v>786</v>
      </c>
      <c r="B16" s="176"/>
      <c r="C16" s="235">
        <f>+'שווי מתנדבים'!H14</f>
        <v>0</v>
      </c>
      <c r="D16" s="236">
        <f>+'שווי מתנדבים'!Q14</f>
        <v>0</v>
      </c>
      <c r="E16" s="237">
        <f t="shared" si="0"/>
        <v>0</v>
      </c>
      <c r="F16" s="238">
        <f>+'שווי מתנדבים'!Z14</f>
        <v>0</v>
      </c>
      <c r="G16" s="237">
        <f t="shared" si="1"/>
        <v>0</v>
      </c>
      <c r="H16" s="170"/>
    </row>
    <row r="17" spans="1:8" ht="12.75">
      <c r="A17" s="175"/>
      <c r="B17" s="175"/>
      <c r="C17" s="174"/>
      <c r="D17" s="174"/>
      <c r="E17" s="172">
        <f>_xlfn.IFERROR(IF(AND(C17=0,D17=0),0,D17/C17),"")</f>
        <v>0</v>
      </c>
      <c r="F17" s="173"/>
      <c r="G17" s="172">
        <f>_xlfn.IFERROR(IF((F17+D17)=0,0,(F17+D17)/C17),"")</f>
        <v>0</v>
      </c>
      <c r="H17" s="170"/>
    </row>
    <row r="18" spans="1:8" s="180" customFormat="1" ht="18.75" customHeight="1">
      <c r="A18" s="177" t="s">
        <v>24</v>
      </c>
      <c r="B18" s="178">
        <f>SUM(B6:B17)</f>
        <v>0</v>
      </c>
      <c r="C18" s="178">
        <f>SUM(C6:C17)</f>
        <v>0</v>
      </c>
      <c r="D18" s="178">
        <f>SUM(D6:D17)</f>
        <v>0</v>
      </c>
      <c r="E18" s="179">
        <f>_xlfn.IFERROR(IF(AND(C18=0,D18=0),0,D18/C18),"")</f>
        <v>0</v>
      </c>
      <c r="F18" s="178">
        <f>SUM(F6:F17)</f>
        <v>0</v>
      </c>
      <c r="G18" s="179">
        <f>_xlfn.IFERROR(IF((F18+D18)=0,0,(F18+D18)/C18),"")</f>
        <v>0</v>
      </c>
      <c r="H18" s="178">
        <f>SUM(H6:H17)</f>
        <v>0</v>
      </c>
    </row>
    <row r="19" spans="1:8" ht="18.75" customHeight="1">
      <c r="A19" s="165" t="s">
        <v>6</v>
      </c>
      <c r="B19" s="165"/>
      <c r="C19" s="166"/>
      <c r="D19" s="166"/>
      <c r="E19" s="167"/>
      <c r="F19" s="168"/>
      <c r="G19" s="169"/>
      <c r="H19" s="170"/>
    </row>
    <row r="20" spans="1:8" ht="12.75">
      <c r="A20" s="175" t="s">
        <v>27</v>
      </c>
      <c r="B20" s="175"/>
      <c r="C20" s="175"/>
      <c r="D20" s="175"/>
      <c r="E20" s="172">
        <f aca="true" t="shared" si="2" ref="E20:E36">_xlfn.IFERROR(IF(AND(C20=0,D20=0),0,D20/C20),"")</f>
        <v>0</v>
      </c>
      <c r="F20" s="173"/>
      <c r="G20" s="172">
        <f aca="true" t="shared" si="3" ref="G20:G36">_xlfn.IFERROR(IF((F20+D20)=0,0,(F20+D20)/C20),"")</f>
        <v>0</v>
      </c>
      <c r="H20" s="170"/>
    </row>
    <row r="21" spans="1:8" ht="12.75">
      <c r="A21" s="175" t="s">
        <v>28</v>
      </c>
      <c r="B21" s="175"/>
      <c r="C21" s="174"/>
      <c r="D21" s="174"/>
      <c r="E21" s="172">
        <f t="shared" si="2"/>
        <v>0</v>
      </c>
      <c r="F21" s="173"/>
      <c r="G21" s="172">
        <f t="shared" si="3"/>
        <v>0</v>
      </c>
      <c r="H21" s="170"/>
    </row>
    <row r="22" spans="1:8" ht="12.75">
      <c r="A22" s="175" t="s">
        <v>29</v>
      </c>
      <c r="B22" s="175"/>
      <c r="C22" s="174"/>
      <c r="D22" s="174"/>
      <c r="E22" s="172">
        <f t="shared" si="2"/>
        <v>0</v>
      </c>
      <c r="F22" s="173"/>
      <c r="G22" s="172">
        <f t="shared" si="3"/>
        <v>0</v>
      </c>
      <c r="H22" s="170"/>
    </row>
    <row r="23" spans="1:8" ht="12.75">
      <c r="A23" s="175" t="s">
        <v>30</v>
      </c>
      <c r="B23" s="175"/>
      <c r="C23" s="174"/>
      <c r="D23" s="174"/>
      <c r="E23" s="172">
        <f t="shared" si="2"/>
        <v>0</v>
      </c>
      <c r="F23" s="173"/>
      <c r="G23" s="172">
        <f t="shared" si="3"/>
        <v>0</v>
      </c>
      <c r="H23" s="170"/>
    </row>
    <row r="24" spans="1:8" ht="12.75">
      <c r="A24" s="175" t="s">
        <v>31</v>
      </c>
      <c r="B24" s="175"/>
      <c r="C24" s="174"/>
      <c r="D24" s="174"/>
      <c r="E24" s="172">
        <f t="shared" si="2"/>
        <v>0</v>
      </c>
      <c r="F24" s="173"/>
      <c r="G24" s="172">
        <f t="shared" si="3"/>
        <v>0</v>
      </c>
      <c r="H24" s="170"/>
    </row>
    <row r="25" spans="1:8" ht="12.75">
      <c r="A25" s="175" t="s">
        <v>32</v>
      </c>
      <c r="B25" s="175"/>
      <c r="C25" s="174"/>
      <c r="D25" s="174"/>
      <c r="E25" s="172">
        <f t="shared" si="2"/>
        <v>0</v>
      </c>
      <c r="F25" s="173"/>
      <c r="G25" s="172">
        <f t="shared" si="3"/>
        <v>0</v>
      </c>
      <c r="H25" s="170"/>
    </row>
    <row r="26" spans="1:8" ht="12.75">
      <c r="A26" s="175" t="s">
        <v>34</v>
      </c>
      <c r="B26" s="175"/>
      <c r="C26" s="174"/>
      <c r="D26" s="174"/>
      <c r="E26" s="172">
        <f t="shared" si="2"/>
        <v>0</v>
      </c>
      <c r="F26" s="173"/>
      <c r="G26" s="172">
        <f t="shared" si="3"/>
        <v>0</v>
      </c>
      <c r="H26" s="170"/>
    </row>
    <row r="27" spans="1:8" ht="12.75">
      <c r="A27" s="175" t="s">
        <v>35</v>
      </c>
      <c r="B27" s="175"/>
      <c r="C27" s="174"/>
      <c r="D27" s="174"/>
      <c r="E27" s="172">
        <f t="shared" si="2"/>
        <v>0</v>
      </c>
      <c r="F27" s="173"/>
      <c r="G27" s="172">
        <f t="shared" si="3"/>
        <v>0</v>
      </c>
      <c r="H27" s="170"/>
    </row>
    <row r="28" spans="1:8" ht="12.75">
      <c r="A28" s="175" t="s">
        <v>36</v>
      </c>
      <c r="B28" s="175"/>
      <c r="C28" s="174"/>
      <c r="D28" s="174"/>
      <c r="E28" s="172">
        <f t="shared" si="2"/>
        <v>0</v>
      </c>
      <c r="F28" s="173"/>
      <c r="G28" s="172">
        <f t="shared" si="3"/>
        <v>0</v>
      </c>
      <c r="H28" s="170"/>
    </row>
    <row r="29" spans="1:8" ht="12.75">
      <c r="A29" s="175" t="s">
        <v>37</v>
      </c>
      <c r="B29" s="175"/>
      <c r="C29" s="174"/>
      <c r="D29" s="174"/>
      <c r="E29" s="172">
        <f t="shared" si="2"/>
        <v>0</v>
      </c>
      <c r="F29" s="173"/>
      <c r="G29" s="172">
        <f t="shared" si="3"/>
        <v>0</v>
      </c>
      <c r="H29" s="170"/>
    </row>
    <row r="30" spans="1:8" ht="12.75">
      <c r="A30" s="175" t="s">
        <v>38</v>
      </c>
      <c r="B30" s="175"/>
      <c r="C30" s="174"/>
      <c r="D30" s="174"/>
      <c r="E30" s="172">
        <f t="shared" si="2"/>
        <v>0</v>
      </c>
      <c r="F30" s="173"/>
      <c r="G30" s="172">
        <f t="shared" si="3"/>
        <v>0</v>
      </c>
      <c r="H30" s="170"/>
    </row>
    <row r="31" spans="1:8" ht="12.75">
      <c r="A31" s="181" t="s">
        <v>39</v>
      </c>
      <c r="B31" s="181"/>
      <c r="C31" s="174"/>
      <c r="D31" s="174"/>
      <c r="E31" s="172">
        <f t="shared" si="2"/>
        <v>0</v>
      </c>
      <c r="F31" s="173"/>
      <c r="G31" s="172">
        <f t="shared" si="3"/>
        <v>0</v>
      </c>
      <c r="H31" s="170"/>
    </row>
    <row r="32" spans="1:8" ht="12.75">
      <c r="A32" s="175" t="s">
        <v>40</v>
      </c>
      <c r="B32" s="175"/>
      <c r="C32" s="174"/>
      <c r="D32" s="174"/>
      <c r="E32" s="172">
        <f t="shared" si="2"/>
        <v>0</v>
      </c>
      <c r="F32" s="173"/>
      <c r="G32" s="172">
        <f t="shared" si="3"/>
        <v>0</v>
      </c>
      <c r="H32" s="170"/>
    </row>
    <row r="33" spans="1:8" ht="12.75">
      <c r="A33" s="175" t="s">
        <v>41</v>
      </c>
      <c r="B33" s="175"/>
      <c r="C33" s="174"/>
      <c r="D33" s="174"/>
      <c r="E33" s="172">
        <f t="shared" si="2"/>
        <v>0</v>
      </c>
      <c r="F33" s="173"/>
      <c r="G33" s="172">
        <f t="shared" si="3"/>
        <v>0</v>
      </c>
      <c r="H33" s="170"/>
    </row>
    <row r="34" spans="1:8" ht="12.75">
      <c r="A34" s="234" t="s">
        <v>777</v>
      </c>
      <c r="B34" s="176"/>
      <c r="C34" s="236">
        <f>+'שווי מתנדבים'!H58</f>
        <v>0</v>
      </c>
      <c r="D34" s="236">
        <f>+'שווי מתנדבים'!Q58</f>
        <v>0</v>
      </c>
      <c r="E34" s="237">
        <f t="shared" si="2"/>
        <v>0</v>
      </c>
      <c r="F34" s="238">
        <f>+'שווי מתנדבים'!Z58</f>
        <v>0</v>
      </c>
      <c r="G34" s="237">
        <f t="shared" si="3"/>
        <v>0</v>
      </c>
      <c r="H34" s="170"/>
    </row>
    <row r="35" spans="1:8" ht="25.5">
      <c r="A35" s="175" t="s">
        <v>1048</v>
      </c>
      <c r="B35" s="175"/>
      <c r="C35" s="174"/>
      <c r="D35" s="174"/>
      <c r="E35" s="172">
        <f t="shared" si="2"/>
        <v>0</v>
      </c>
      <c r="F35" s="173"/>
      <c r="G35" s="172">
        <f t="shared" si="3"/>
        <v>0</v>
      </c>
      <c r="H35" s="170"/>
    </row>
    <row r="36" spans="1:8" ht="12.75">
      <c r="A36" s="175"/>
      <c r="B36" s="175"/>
      <c r="C36" s="174"/>
      <c r="D36" s="174"/>
      <c r="E36" s="172">
        <f t="shared" si="2"/>
        <v>0</v>
      </c>
      <c r="F36" s="173"/>
      <c r="G36" s="172">
        <f t="shared" si="3"/>
        <v>0</v>
      </c>
      <c r="H36" s="170"/>
    </row>
    <row r="37" spans="1:8" ht="12.75">
      <c r="A37" s="175"/>
      <c r="B37" s="175"/>
      <c r="C37" s="174"/>
      <c r="D37" s="174"/>
      <c r="E37" s="172">
        <f>_xlfn.IFERROR(IF(AND(C37=0,D37=0),0,D37/C37),"")</f>
        <v>0</v>
      </c>
      <c r="F37" s="173"/>
      <c r="G37" s="172">
        <f>_xlfn.IFERROR(IF((F37+D37)=0,0,(F37+D37)/C37),"")</f>
        <v>0</v>
      </c>
      <c r="H37" s="170"/>
    </row>
    <row r="38" spans="1:8" s="180" customFormat="1" ht="18.75" customHeight="1">
      <c r="A38" s="177" t="s">
        <v>7</v>
      </c>
      <c r="B38" s="178">
        <f>SUM(B20:B37)</f>
        <v>0</v>
      </c>
      <c r="C38" s="178">
        <f>SUM(C20:C37)</f>
        <v>0</v>
      </c>
      <c r="D38" s="178">
        <f>SUM(D20:D37)</f>
        <v>0</v>
      </c>
      <c r="E38" s="179">
        <f>_xlfn.IFERROR(IF(AND(C38=0,D38=0),0,D38/C38),"")</f>
        <v>0</v>
      </c>
      <c r="F38" s="178">
        <f>SUM(F20:F37)</f>
        <v>0</v>
      </c>
      <c r="G38" s="179">
        <f>_xlfn.IFERROR(IF((F38+D38)=0,0,(F38+D38)/C38),"")</f>
        <v>0</v>
      </c>
      <c r="H38" s="178">
        <f>SUM(H20:H37)</f>
        <v>0</v>
      </c>
    </row>
    <row r="39" spans="1:8" ht="20.25">
      <c r="A39" s="161" t="s">
        <v>5</v>
      </c>
      <c r="B39" s="161"/>
      <c r="C39" s="182"/>
      <c r="D39" s="182"/>
      <c r="E39" s="183"/>
      <c r="F39" s="184"/>
      <c r="G39" s="172"/>
      <c r="H39" s="170"/>
    </row>
    <row r="40" spans="1:8" ht="18.75" customHeight="1">
      <c r="A40" s="185" t="s">
        <v>9</v>
      </c>
      <c r="B40" s="185"/>
      <c r="C40" s="186"/>
      <c r="D40" s="187"/>
      <c r="E40" s="172"/>
      <c r="F40" s="187"/>
      <c r="G40" s="172"/>
      <c r="H40" s="170"/>
    </row>
    <row r="41" spans="1:8" ht="12.75">
      <c r="A41" s="175" t="s">
        <v>42</v>
      </c>
      <c r="B41" s="175"/>
      <c r="C41" s="175"/>
      <c r="D41" s="175"/>
      <c r="E41" s="172">
        <f aca="true" t="shared" si="4" ref="E41:E48">_xlfn.IFERROR(IF(AND(C41=0,D41=0),0,D41/C41),"")</f>
        <v>0</v>
      </c>
      <c r="F41" s="173"/>
      <c r="G41" s="172">
        <f aca="true" t="shared" si="5" ref="G41:G48">_xlfn.IFERROR(IF((F41+D41)=0,0,(F41+D41)/C41),"")</f>
        <v>0</v>
      </c>
      <c r="H41" s="170"/>
    </row>
    <row r="42" spans="1:8" ht="12.75">
      <c r="A42" s="175" t="s">
        <v>43</v>
      </c>
      <c r="B42" s="175"/>
      <c r="C42" s="186"/>
      <c r="D42" s="187"/>
      <c r="E42" s="172">
        <f t="shared" si="4"/>
        <v>0</v>
      </c>
      <c r="F42" s="173"/>
      <c r="G42" s="172">
        <f t="shared" si="5"/>
        <v>0</v>
      </c>
      <c r="H42" s="170"/>
    </row>
    <row r="43" spans="1:8" ht="12.75">
      <c r="A43" s="175" t="s">
        <v>1049</v>
      </c>
      <c r="B43" s="175"/>
      <c r="C43" s="186"/>
      <c r="D43" s="187"/>
      <c r="E43" s="172">
        <f t="shared" si="4"/>
        <v>0</v>
      </c>
      <c r="F43" s="173"/>
      <c r="G43" s="172">
        <f t="shared" si="5"/>
        <v>0</v>
      </c>
      <c r="H43" s="170"/>
    </row>
    <row r="44" spans="1:8" ht="12.75">
      <c r="A44" s="175" t="s">
        <v>44</v>
      </c>
      <c r="B44" s="175"/>
      <c r="C44" s="186"/>
      <c r="D44" s="187"/>
      <c r="E44" s="172">
        <f t="shared" si="4"/>
        <v>0</v>
      </c>
      <c r="F44" s="173"/>
      <c r="G44" s="172">
        <f t="shared" si="5"/>
        <v>0</v>
      </c>
      <c r="H44" s="170"/>
    </row>
    <row r="45" spans="1:8" ht="12.75">
      <c r="A45" s="175" t="s">
        <v>45</v>
      </c>
      <c r="B45" s="175"/>
      <c r="C45" s="186"/>
      <c r="D45" s="187"/>
      <c r="E45" s="172">
        <f t="shared" si="4"/>
        <v>0</v>
      </c>
      <c r="F45" s="173"/>
      <c r="G45" s="172">
        <f t="shared" si="5"/>
        <v>0</v>
      </c>
      <c r="H45" s="170"/>
    </row>
    <row r="46" spans="1:8" ht="12.75">
      <c r="A46" s="234" t="s">
        <v>777</v>
      </c>
      <c r="B46" s="176"/>
      <c r="C46" s="236">
        <f>+C34+C16</f>
        <v>0</v>
      </c>
      <c r="D46" s="236">
        <f>D16+D34</f>
        <v>0</v>
      </c>
      <c r="E46" s="237">
        <f t="shared" si="4"/>
        <v>0</v>
      </c>
      <c r="F46" s="236">
        <f>F16+F34</f>
        <v>0</v>
      </c>
      <c r="G46" s="237">
        <f t="shared" si="5"/>
        <v>0</v>
      </c>
      <c r="H46" s="170"/>
    </row>
    <row r="47" spans="1:8" ht="12.75">
      <c r="A47" s="175"/>
      <c r="B47" s="175"/>
      <c r="C47" s="186"/>
      <c r="D47" s="187"/>
      <c r="E47" s="172">
        <f t="shared" si="4"/>
        <v>0</v>
      </c>
      <c r="F47" s="173"/>
      <c r="G47" s="172">
        <f t="shared" si="5"/>
        <v>0</v>
      </c>
      <c r="H47" s="170"/>
    </row>
    <row r="48" spans="1:8" ht="12.75">
      <c r="A48" s="175"/>
      <c r="B48" s="175"/>
      <c r="C48" s="186"/>
      <c r="D48" s="187"/>
      <c r="E48" s="172">
        <f t="shared" si="4"/>
        <v>0</v>
      </c>
      <c r="F48" s="173"/>
      <c r="G48" s="172">
        <f t="shared" si="5"/>
        <v>0</v>
      </c>
      <c r="H48" s="170"/>
    </row>
    <row r="49" spans="1:8" ht="12.75">
      <c r="A49" s="175"/>
      <c r="B49" s="175"/>
      <c r="C49" s="186"/>
      <c r="D49" s="187"/>
      <c r="E49" s="172">
        <f>_xlfn.IFERROR(IF(AND(C49=0,D49=0),0,D49/C49),"")</f>
        <v>0</v>
      </c>
      <c r="F49" s="173"/>
      <c r="G49" s="172">
        <f>_xlfn.IFERROR(IF((F49+D49)=0,0,(F49+D49)/C49),"")</f>
        <v>0</v>
      </c>
      <c r="H49" s="170"/>
    </row>
    <row r="50" spans="1:8" ht="15.75">
      <c r="A50" s="177" t="s">
        <v>10</v>
      </c>
      <c r="B50" s="178">
        <f>SUM(B40:B49)</f>
        <v>0</v>
      </c>
      <c r="C50" s="178">
        <f>SUM(C40:C49)</f>
        <v>0</v>
      </c>
      <c r="D50" s="178">
        <f>SUM(D40:D49)</f>
        <v>0</v>
      </c>
      <c r="E50" s="179">
        <f>_xlfn.IFERROR(IF(AND(C50=0,D50=0),0,D50/C50),"")</f>
        <v>0</v>
      </c>
      <c r="F50" s="178">
        <f>SUM(F40:F49)</f>
        <v>0</v>
      </c>
      <c r="G50" s="179">
        <f>_xlfn.IFERROR(IF((F50+D50)=0,0,(F50+D50)/C50),"")</f>
        <v>0</v>
      </c>
      <c r="H50" s="178">
        <f>SUM(H40:H49)</f>
        <v>0</v>
      </c>
    </row>
    <row r="51" spans="1:8" s="191" customFormat="1" ht="15.75">
      <c r="A51" s="188" t="s">
        <v>11</v>
      </c>
      <c r="B51" s="189">
        <f>_xlfn.IFERROR(IF(B50=0,0,B50/B61),"")</f>
        <v>0</v>
      </c>
      <c r="C51" s="189">
        <f>_xlfn.IFERROR(IF(C50=0,0,C50/C61),"")</f>
        <v>0</v>
      </c>
      <c r="D51" s="189">
        <f>_xlfn.IFERROR(IF(D50=0,0,D50/C61),"")</f>
        <v>0</v>
      </c>
      <c r="E51" s="190"/>
      <c r="F51" s="189">
        <f>_xlfn.IFERROR(IF(F50=0,0,F50/F61),"")</f>
        <v>0</v>
      </c>
      <c r="G51" s="190"/>
      <c r="H51" s="190">
        <f>IF(H50=0,0,H50/H38)</f>
        <v>0</v>
      </c>
    </row>
    <row r="52" spans="1:8" ht="12.75">
      <c r="A52" s="175"/>
      <c r="B52" s="175"/>
      <c r="C52" s="186"/>
      <c r="D52" s="187"/>
      <c r="E52" s="172"/>
      <c r="F52" s="192"/>
      <c r="G52" s="172"/>
      <c r="H52" s="170"/>
    </row>
    <row r="53" spans="1:8" ht="15.75">
      <c r="A53" s="185" t="s">
        <v>3</v>
      </c>
      <c r="B53" s="193"/>
      <c r="C53" s="194"/>
      <c r="D53" s="195"/>
      <c r="E53" s="195"/>
      <c r="F53" s="196"/>
      <c r="G53" s="172"/>
      <c r="H53" s="170"/>
    </row>
    <row r="54" spans="1:8" s="198" customFormat="1" ht="18">
      <c r="A54" s="175" t="s">
        <v>774</v>
      </c>
      <c r="B54" s="239">
        <f>INDEX(שולם_בפועל_ב_19,גיליון2!A5,0)</f>
        <v>104120.5</v>
      </c>
      <c r="C54" s="239">
        <f>INDEX(תמיכה_2020_לפי_המודל,גיליון2!A5,0)</f>
        <v>90312</v>
      </c>
      <c r="D54" s="197">
        <f>INDEX(שולם_עד_P,גיליון2!A5,0)</f>
        <v>72249.6</v>
      </c>
      <c r="E54" s="172">
        <f>_xlfn.IFERROR(IF(AND(C54=0,D54=0),0,IF(D54/#REF!=0.7,0.7,D54/C54)),"")</f>
      </c>
      <c r="F54" s="197">
        <f>C54-D54</f>
        <v>18062.399999999994</v>
      </c>
      <c r="G54" s="172">
        <f>_xlfn.IFERROR(IF((F54+D54)=0,0,(F54+D54)/C54),"")</f>
        <v>1</v>
      </c>
      <c r="H54" s="173"/>
    </row>
    <row r="55" spans="1:8" s="198" customFormat="1" ht="12.75">
      <c r="A55" s="175" t="s">
        <v>775</v>
      </c>
      <c r="B55" s="199"/>
      <c r="C55" s="200"/>
      <c r="D55" s="192"/>
      <c r="E55" s="172">
        <f>_xlfn.IFERROR(IF(AND(C55=0,D55=0),0,D55/C55),"")</f>
        <v>0</v>
      </c>
      <c r="F55" s="192"/>
      <c r="G55" s="172">
        <f>_xlfn.IFERROR(IF((F55+D55)=0,0,(F55+D55)/C55),"")</f>
        <v>0</v>
      </c>
      <c r="H55" s="173"/>
    </row>
    <row r="56" spans="1:8" s="198" customFormat="1" ht="12.75">
      <c r="A56" s="201" t="s">
        <v>776</v>
      </c>
      <c r="B56" s="202"/>
      <c r="C56" s="200"/>
      <c r="D56" s="192"/>
      <c r="E56" s="172">
        <f>_xlfn.IFERROR(IF(AND(C56=0,D56=0),0,D56/C56),"")</f>
        <v>0</v>
      </c>
      <c r="F56" s="192"/>
      <c r="G56" s="172">
        <f>_xlfn.IFERROR(IF((F56+D56)=0,0,(F56+D56)/C56),"")</f>
        <v>0</v>
      </c>
      <c r="H56" s="173"/>
    </row>
    <row r="57" spans="1:8" s="198" customFormat="1" ht="12.75">
      <c r="A57" s="198" t="s">
        <v>795</v>
      </c>
      <c r="C57" s="200"/>
      <c r="D57" s="192"/>
      <c r="E57" s="172">
        <f>_xlfn.IFERROR(IF(AND(C57=0,D57=0),0,D57/C57),"")</f>
        <v>0</v>
      </c>
      <c r="F57" s="192"/>
      <c r="G57" s="172">
        <f>_xlfn.IFERROR(IF((F57+D57)=0,0,(F57+D57)/C57),"")</f>
        <v>0</v>
      </c>
      <c r="H57" s="173"/>
    </row>
    <row r="58" spans="1:8" ht="28.5" customHeight="1">
      <c r="A58" s="177" t="s">
        <v>4</v>
      </c>
      <c r="B58" s="178">
        <f>SUM(B54:B57)</f>
        <v>104120.5</v>
      </c>
      <c r="C58" s="178">
        <f>SUM(C54:C57)</f>
        <v>90312</v>
      </c>
      <c r="D58" s="178">
        <f>SUM(D54:D57)</f>
        <v>72249.6</v>
      </c>
      <c r="E58" s="179">
        <f>_xlfn.IFERROR(IF(AND(C58=0,D58=0),0,D58/C58),"")</f>
        <v>0.8</v>
      </c>
      <c r="F58" s="178">
        <f>SUM(F54:F57)</f>
        <v>18062.399999999994</v>
      </c>
      <c r="G58" s="179">
        <f>_xlfn.IFERROR(IF((F58+D58)=0,0,(F58+D58)/C58),"")</f>
        <v>1</v>
      </c>
      <c r="H58" s="178">
        <f>SUM(H54:H57)</f>
        <v>0</v>
      </c>
    </row>
    <row r="59" spans="1:8" ht="9" customHeight="1">
      <c r="A59" s="203"/>
      <c r="B59" s="203"/>
      <c r="C59" s="204"/>
      <c r="D59" s="204"/>
      <c r="E59" s="172"/>
      <c r="F59" s="204"/>
      <c r="G59" s="172"/>
      <c r="H59" s="204"/>
    </row>
    <row r="60" spans="1:8" s="180" customFormat="1" ht="20.25">
      <c r="A60" s="205" t="s">
        <v>1</v>
      </c>
      <c r="B60" s="178">
        <f>B58+B50</f>
        <v>104120.5</v>
      </c>
      <c r="C60" s="178">
        <f>C58+C50</f>
        <v>90312</v>
      </c>
      <c r="D60" s="178">
        <f>D58+D50</f>
        <v>72249.6</v>
      </c>
      <c r="E60" s="179">
        <f>IF(AND(C60=0,D60=0),0,D60/C60)</f>
        <v>0.8</v>
      </c>
      <c r="F60" s="178">
        <f>F58+F50</f>
        <v>18062.399999999994</v>
      </c>
      <c r="G60" s="179">
        <f>IF((F60+D60)=0,0,(F60+D60)/C60)</f>
        <v>1</v>
      </c>
      <c r="H60" s="178">
        <f>H58+H50</f>
        <v>0</v>
      </c>
    </row>
    <row r="61" spans="1:8" ht="20.25">
      <c r="A61" s="206" t="s">
        <v>13</v>
      </c>
      <c r="B61" s="207">
        <f>B38+B18</f>
        <v>0</v>
      </c>
      <c r="C61" s="207">
        <f>C38+C18</f>
        <v>0</v>
      </c>
      <c r="D61" s="178">
        <f>D38+D18</f>
        <v>0</v>
      </c>
      <c r="E61" s="179">
        <f>IF(AND(C61=0,D61=0),0,D61/C61)</f>
        <v>0</v>
      </c>
      <c r="F61" s="178">
        <f>F38+F18</f>
        <v>0</v>
      </c>
      <c r="G61" s="179">
        <f>IF((F61+D61)=0,0,(F61+D61)/C61)</f>
        <v>0</v>
      </c>
      <c r="H61" s="178">
        <f>H38+H18</f>
        <v>0</v>
      </c>
    </row>
    <row r="62" spans="3:10" ht="13.5" thickBot="1">
      <c r="C62" s="209"/>
      <c r="J62" s="210"/>
    </row>
    <row r="63" spans="1:7" ht="29.25" thickBot="1">
      <c r="A63" s="211" t="s">
        <v>1052</v>
      </c>
      <c r="B63" s="212">
        <f>_xlfn.IFERROR(B18/B60,"")</f>
        <v>0</v>
      </c>
      <c r="D63" s="213"/>
      <c r="F63" s="214" t="s">
        <v>791</v>
      </c>
      <c r="G63" s="215">
        <f>_xlfn.IFERROR((D18+F18)/(D60+F60),"")</f>
        <v>0</v>
      </c>
    </row>
    <row r="64" spans="3:4" ht="20.25" customHeight="1">
      <c r="C64" s="216" t="s">
        <v>796</v>
      </c>
      <c r="D64" s="217">
        <f>IF(C61=0,0,IF(AND(C60=C61,D51+F51&gt;=10%,B51&gt;=10%,((D61-D34-D16)+(F61-F34-F16))/(D54+F54)&gt;=C80,B61/B54&gt;=B80),"תקין","לא תקין"))</f>
        <v>0</v>
      </c>
    </row>
    <row r="65" spans="3:4" ht="18">
      <c r="C65" s="218" t="s">
        <v>794</v>
      </c>
      <c r="D65" s="217">
        <f>_xlfn.IFERROR(IF(C34=0,0,IF(C61-C16-C34&gt;=C54,"תקין","לא תקין")),"")</f>
        <v>0</v>
      </c>
    </row>
    <row r="66" spans="3:5" ht="18">
      <c r="C66" s="218"/>
      <c r="D66" s="217"/>
      <c r="E66" s="219"/>
    </row>
    <row r="67" spans="1:2" ht="18">
      <c r="A67" s="220"/>
      <c r="B67" s="220"/>
    </row>
    <row r="69" spans="1:6" ht="16.5" customHeight="1" thickBot="1">
      <c r="A69" s="221" t="s">
        <v>778</v>
      </c>
      <c r="B69" s="222"/>
      <c r="C69" s="222"/>
      <c r="D69" s="218" t="s">
        <v>780</v>
      </c>
      <c r="E69" s="240"/>
      <c r="F69" s="240"/>
    </row>
    <row r="70" spans="1:6" ht="39.75" customHeight="1" thickBot="1">
      <c r="A70" s="221" t="s">
        <v>779</v>
      </c>
      <c r="B70" s="223"/>
      <c r="C70" s="223"/>
      <c r="D70" s="218" t="s">
        <v>780</v>
      </c>
      <c r="E70" s="240"/>
      <c r="F70" s="240"/>
    </row>
    <row r="74" spans="1:2" ht="12.75">
      <c r="A74" s="221"/>
      <c r="B74" s="221"/>
    </row>
    <row r="75" spans="1:4" ht="12.75">
      <c r="A75" s="224" t="s">
        <v>793</v>
      </c>
      <c r="B75" s="225" t="s">
        <v>1053</v>
      </c>
      <c r="C75" s="226" t="s">
        <v>792</v>
      </c>
      <c r="D75" s="226" t="s">
        <v>800</v>
      </c>
    </row>
    <row r="76" spans="1:4" ht="12.75">
      <c r="A76" s="227" t="s">
        <v>789</v>
      </c>
      <c r="B76" s="228"/>
      <c r="C76" s="170">
        <f>IF(OR(C60=0,C61=0),0,IF(C60=C61,"מאוזן","לא מאוזן"))</f>
        <v>0</v>
      </c>
      <c r="D76" s="170"/>
    </row>
    <row r="77" spans="1:4" ht="12.75">
      <c r="A77" s="229" t="s">
        <v>801</v>
      </c>
      <c r="B77" s="170" t="str">
        <f>IF(B51&gt;=10%,"תקין","לא תקין")</f>
        <v>לא תקין</v>
      </c>
      <c r="C77" s="170"/>
      <c r="D77" s="170">
        <f>_xlfn.IFERROR(IF((D50+F50)/(D61+F61)&gt;=10%,"תקין","לא תקין"),"")</f>
      </c>
    </row>
    <row r="78" spans="1:4" ht="12.75">
      <c r="A78" s="229" t="s">
        <v>799</v>
      </c>
      <c r="B78" s="170" t="str">
        <f>_xlfn.IFERROR(IF(B61/B54&gt;=B80,"תקין","לא תקין"),"")</f>
        <v>לא תקין</v>
      </c>
      <c r="C78" s="170"/>
      <c r="D78" s="170" t="str">
        <f>_xlfn.IFERROR(IF((D61+F61)/C54&gt;=C80,"תקין","לא תקין"),"")</f>
        <v>לא תקין</v>
      </c>
    </row>
    <row r="79" spans="1:4" ht="12.75">
      <c r="A79" s="229" t="s">
        <v>790</v>
      </c>
      <c r="B79" s="230"/>
      <c r="C79" s="170" t="str">
        <f>IF(C61-C34-C16&gt;=C54,"תקין","לא תקין")</f>
        <v>לא תקין</v>
      </c>
      <c r="D79" s="170" t="str">
        <f>IF((D61-D34-D16)+(F61-F34-F16)&gt;=(D54+F54),"תקין","לא תקין")</f>
        <v>לא תקין</v>
      </c>
    </row>
    <row r="80" spans="2:3" ht="12.75">
      <c r="B80" s="231">
        <f>100/90</f>
        <v>1.1111111111111112</v>
      </c>
      <c r="C80" s="232">
        <v>1.1111</v>
      </c>
    </row>
    <row r="81" ht="12.75">
      <c r="C81" s="233">
        <f>_xlfn.IFERROR(D61/D54,"")</f>
        <v>0</v>
      </c>
    </row>
  </sheetData>
  <sheetProtection password="908C" sheet="1"/>
  <mergeCells count="3">
    <mergeCell ref="E69:F69"/>
    <mergeCell ref="E70:F70"/>
    <mergeCell ref="B3:C3"/>
  </mergeCells>
  <conditionalFormatting sqref="E63 G63">
    <cfRule type="cellIs" priority="8" dxfId="0" operator="greaterThan" stopIfTrue="1">
      <formula>0.22</formula>
    </cfRule>
  </conditionalFormatting>
  <conditionalFormatting sqref="C76">
    <cfRule type="containsText" priority="4" dxfId="0" operator="containsText" stopIfTrue="1" text="&quot;&quot;לא מאוזן&quot;&quot;">
      <formula>NOT(ISERROR(SEARCH("""לא מאוזן""",C76)))</formula>
    </cfRule>
  </conditionalFormatting>
  <conditionalFormatting sqref="B63">
    <cfRule type="cellIs" priority="1" dxfId="0" operator="greaterThan" stopIfTrue="1">
      <formula>0.22</formula>
    </cfRule>
  </conditionalFormatting>
  <printOptions horizontalCentered="1"/>
  <pageMargins left="0.7480314960629921" right="0.7480314960629921" top="0.7480314960629921" bottom="0.7480314960629921" header="0.5118110236220472" footer="0.5118110236220472"/>
  <pageSetup fitToHeight="1" fitToWidth="1" orientation="portrait" paperSize="9" scale="63" r:id="rId2"/>
  <headerFooter alignWithMargins="0">
    <oddFooter>&amp;C&amp;N  - 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8"/>
  <sheetViews>
    <sheetView rightToLeft="1" zoomScalePageLayoutView="0" workbookViewId="0" topLeftCell="G1">
      <selection activeCell="S16" sqref="S16"/>
    </sheetView>
  </sheetViews>
  <sheetFormatPr defaultColWidth="9.140625" defaultRowHeight="12.75"/>
  <cols>
    <col min="1" max="1" width="3.57421875" style="0" bestFit="1" customWidth="1"/>
    <col min="2" max="2" width="10.00390625" style="0" bestFit="1" customWidth="1"/>
    <col min="3" max="4" width="11.57421875" style="0" customWidth="1"/>
    <col min="5" max="5" width="11.140625" style="0" customWidth="1"/>
    <col min="6" max="6" width="11.00390625" style="0" bestFit="1" customWidth="1"/>
    <col min="7" max="7" width="10.57421875" style="0" bestFit="1" customWidth="1"/>
    <col min="8" max="8" width="9.421875" style="0" customWidth="1"/>
  </cols>
  <sheetData>
    <row r="1" spans="1:26" ht="18">
      <c r="A1" s="242" t="s">
        <v>787</v>
      </c>
      <c r="B1" s="242"/>
      <c r="C1" s="242"/>
      <c r="D1" s="242"/>
      <c r="E1" s="242"/>
      <c r="F1" s="242"/>
      <c r="G1" s="242"/>
      <c r="H1" s="242"/>
      <c r="J1" s="242" t="s">
        <v>1054</v>
      </c>
      <c r="K1" s="242"/>
      <c r="L1" s="242"/>
      <c r="M1" s="242"/>
      <c r="N1" s="242"/>
      <c r="O1" s="242"/>
      <c r="P1" s="242"/>
      <c r="Q1" s="242"/>
      <c r="S1" s="242" t="s">
        <v>1055</v>
      </c>
      <c r="T1" s="242"/>
      <c r="U1" s="242"/>
      <c r="V1" s="242"/>
      <c r="W1" s="242"/>
      <c r="X1" s="242"/>
      <c r="Y1" s="242"/>
      <c r="Z1" s="242"/>
    </row>
    <row r="2" spans="2:20" ht="15.75">
      <c r="B2" s="69"/>
      <c r="K2" s="69"/>
      <c r="T2" s="69"/>
    </row>
    <row r="3" spans="1:26" ht="12.75">
      <c r="A3" s="70" t="s">
        <v>773</v>
      </c>
      <c r="B3" s="70" t="s">
        <v>781</v>
      </c>
      <c r="C3" s="70" t="s">
        <v>782</v>
      </c>
      <c r="D3" s="70" t="s">
        <v>1050</v>
      </c>
      <c r="E3" s="70" t="s">
        <v>783</v>
      </c>
      <c r="F3" s="70" t="s">
        <v>784</v>
      </c>
      <c r="G3" s="70" t="s">
        <v>785</v>
      </c>
      <c r="H3" s="70" t="s">
        <v>766</v>
      </c>
      <c r="J3" s="70" t="s">
        <v>773</v>
      </c>
      <c r="K3" s="70" t="s">
        <v>781</v>
      </c>
      <c r="L3" s="70" t="s">
        <v>782</v>
      </c>
      <c r="M3" s="70" t="s">
        <v>1050</v>
      </c>
      <c r="N3" s="70" t="s">
        <v>783</v>
      </c>
      <c r="O3" s="70" t="s">
        <v>784</v>
      </c>
      <c r="P3" s="70" t="s">
        <v>785</v>
      </c>
      <c r="Q3" s="70" t="s">
        <v>766</v>
      </c>
      <c r="S3" s="70" t="s">
        <v>773</v>
      </c>
      <c r="T3" s="70" t="s">
        <v>781</v>
      </c>
      <c r="U3" s="70" t="s">
        <v>782</v>
      </c>
      <c r="V3" s="70" t="s">
        <v>1050</v>
      </c>
      <c r="W3" s="70" t="s">
        <v>783</v>
      </c>
      <c r="X3" s="70" t="s">
        <v>784</v>
      </c>
      <c r="Y3" s="70" t="s">
        <v>785</v>
      </c>
      <c r="Z3" s="70" t="s">
        <v>766</v>
      </c>
    </row>
    <row r="4" spans="1:26" ht="12.75">
      <c r="A4" s="1">
        <v>1</v>
      </c>
      <c r="B4" s="1"/>
      <c r="C4" s="1"/>
      <c r="D4" s="1"/>
      <c r="E4" s="1"/>
      <c r="F4" s="1"/>
      <c r="G4" s="1"/>
      <c r="H4" s="72">
        <f>E4*F4*G4</f>
        <v>0</v>
      </c>
      <c r="J4" s="1">
        <v>1</v>
      </c>
      <c r="K4" s="1"/>
      <c r="L4" s="1"/>
      <c r="M4" s="1"/>
      <c r="N4" s="1"/>
      <c r="O4" s="1"/>
      <c r="P4" s="1"/>
      <c r="Q4" s="72">
        <f aca="true" t="shared" si="0" ref="Q4:Q13">N4*O4*P4</f>
        <v>0</v>
      </c>
      <c r="S4" s="1">
        <v>1</v>
      </c>
      <c r="T4" s="1"/>
      <c r="U4" s="1"/>
      <c r="V4" s="1"/>
      <c r="W4" s="1"/>
      <c r="X4" s="1"/>
      <c r="Y4" s="1"/>
      <c r="Z4" s="72">
        <f aca="true" t="shared" si="1" ref="Z4:Z13">W4*X4*Y4</f>
        <v>0</v>
      </c>
    </row>
    <row r="5" spans="1:26" ht="12.75">
      <c r="A5" s="1">
        <v>2</v>
      </c>
      <c r="B5" s="1"/>
      <c r="C5" s="1"/>
      <c r="D5" s="1"/>
      <c r="E5" s="1"/>
      <c r="F5" s="1"/>
      <c r="G5" s="1"/>
      <c r="H5" s="72">
        <f aca="true" t="shared" si="2" ref="H5:H56">E5*F5*G5</f>
        <v>0</v>
      </c>
      <c r="J5" s="1">
        <v>2</v>
      </c>
      <c r="K5" s="1"/>
      <c r="L5" s="1"/>
      <c r="M5" s="1"/>
      <c r="N5" s="1"/>
      <c r="O5" s="1"/>
      <c r="P5" s="1"/>
      <c r="Q5" s="72">
        <f t="shared" si="0"/>
        <v>0</v>
      </c>
      <c r="S5" s="1">
        <v>2</v>
      </c>
      <c r="T5" s="1"/>
      <c r="U5" s="1"/>
      <c r="V5" s="1"/>
      <c r="W5" s="1"/>
      <c r="X5" s="1"/>
      <c r="Y5" s="1"/>
      <c r="Z5" s="72">
        <f t="shared" si="1"/>
        <v>0</v>
      </c>
    </row>
    <row r="6" spans="1:26" ht="12.75">
      <c r="A6" s="1">
        <v>3</v>
      </c>
      <c r="B6" s="1"/>
      <c r="C6" s="1"/>
      <c r="D6" s="1"/>
      <c r="E6" s="1"/>
      <c r="F6" s="1"/>
      <c r="G6" s="1"/>
      <c r="H6" s="72">
        <f t="shared" si="2"/>
        <v>0</v>
      </c>
      <c r="J6" s="1">
        <v>3</v>
      </c>
      <c r="K6" s="1"/>
      <c r="L6" s="1"/>
      <c r="M6" s="1"/>
      <c r="N6" s="1"/>
      <c r="O6" s="1"/>
      <c r="P6" s="1"/>
      <c r="Q6" s="72">
        <f t="shared" si="0"/>
        <v>0</v>
      </c>
      <c r="S6" s="1">
        <v>3</v>
      </c>
      <c r="T6" s="1"/>
      <c r="U6" s="1"/>
      <c r="V6" s="1"/>
      <c r="W6" s="1"/>
      <c r="X6" s="1"/>
      <c r="Y6" s="1"/>
      <c r="Z6" s="72">
        <f t="shared" si="1"/>
        <v>0</v>
      </c>
    </row>
    <row r="7" spans="1:26" ht="12.75">
      <c r="A7" s="1">
        <v>4</v>
      </c>
      <c r="B7" s="1"/>
      <c r="C7" s="1"/>
      <c r="D7" s="1"/>
      <c r="E7" s="1"/>
      <c r="F7" s="1"/>
      <c r="G7" s="1"/>
      <c r="H7" s="72">
        <f t="shared" si="2"/>
        <v>0</v>
      </c>
      <c r="J7" s="1">
        <v>4</v>
      </c>
      <c r="K7" s="1"/>
      <c r="L7" s="1"/>
      <c r="M7" s="1"/>
      <c r="N7" s="1"/>
      <c r="O7" s="1"/>
      <c r="P7" s="1"/>
      <c r="Q7" s="72">
        <f t="shared" si="0"/>
        <v>0</v>
      </c>
      <c r="S7" s="1">
        <v>4</v>
      </c>
      <c r="T7" s="1"/>
      <c r="U7" s="1"/>
      <c r="V7" s="1"/>
      <c r="W7" s="1"/>
      <c r="X7" s="1"/>
      <c r="Y7" s="1"/>
      <c r="Z7" s="72">
        <f t="shared" si="1"/>
        <v>0</v>
      </c>
    </row>
    <row r="8" spans="1:26" ht="12.75">
      <c r="A8" s="1">
        <v>5</v>
      </c>
      <c r="B8" s="1"/>
      <c r="C8" s="1"/>
      <c r="D8" s="1"/>
      <c r="E8" s="1"/>
      <c r="F8" s="1"/>
      <c r="G8" s="1"/>
      <c r="H8" s="72">
        <f t="shared" si="2"/>
        <v>0</v>
      </c>
      <c r="J8" s="1">
        <v>5</v>
      </c>
      <c r="K8" s="1"/>
      <c r="L8" s="1"/>
      <c r="M8" s="1"/>
      <c r="N8" s="1"/>
      <c r="O8" s="1"/>
      <c r="P8" s="1"/>
      <c r="Q8" s="72">
        <f t="shared" si="0"/>
        <v>0</v>
      </c>
      <c r="S8" s="1">
        <v>5</v>
      </c>
      <c r="T8" s="1"/>
      <c r="U8" s="1"/>
      <c r="V8" s="1"/>
      <c r="W8" s="1"/>
      <c r="X8" s="1"/>
      <c r="Y8" s="1"/>
      <c r="Z8" s="72">
        <f t="shared" si="1"/>
        <v>0</v>
      </c>
    </row>
    <row r="9" spans="1:26" ht="12.75">
      <c r="A9" s="1">
        <v>6</v>
      </c>
      <c r="B9" s="1"/>
      <c r="C9" s="1"/>
      <c r="D9" s="1"/>
      <c r="E9" s="1"/>
      <c r="F9" s="1"/>
      <c r="G9" s="1"/>
      <c r="H9" s="72">
        <f t="shared" si="2"/>
        <v>0</v>
      </c>
      <c r="J9" s="1">
        <v>6</v>
      </c>
      <c r="K9" s="1"/>
      <c r="L9" s="1"/>
      <c r="M9" s="1"/>
      <c r="N9" s="1"/>
      <c r="O9" s="1"/>
      <c r="P9" s="1"/>
      <c r="Q9" s="72">
        <f t="shared" si="0"/>
        <v>0</v>
      </c>
      <c r="S9" s="1">
        <v>6</v>
      </c>
      <c r="T9" s="1"/>
      <c r="U9" s="1"/>
      <c r="V9" s="1"/>
      <c r="W9" s="1"/>
      <c r="X9" s="1"/>
      <c r="Y9" s="1"/>
      <c r="Z9" s="72">
        <f t="shared" si="1"/>
        <v>0</v>
      </c>
    </row>
    <row r="10" spans="1:26" ht="12.75">
      <c r="A10" s="1">
        <v>7</v>
      </c>
      <c r="B10" s="1"/>
      <c r="C10" s="1"/>
      <c r="D10" s="1"/>
      <c r="E10" s="1"/>
      <c r="F10" s="1"/>
      <c r="G10" s="1"/>
      <c r="H10" s="72">
        <f t="shared" si="2"/>
        <v>0</v>
      </c>
      <c r="J10" s="1">
        <v>7</v>
      </c>
      <c r="K10" s="1"/>
      <c r="L10" s="1"/>
      <c r="M10" s="1"/>
      <c r="N10" s="1"/>
      <c r="O10" s="1"/>
      <c r="P10" s="1"/>
      <c r="Q10" s="72">
        <f t="shared" si="0"/>
        <v>0</v>
      </c>
      <c r="S10" s="1">
        <v>7</v>
      </c>
      <c r="T10" s="1"/>
      <c r="U10" s="1"/>
      <c r="V10" s="1"/>
      <c r="W10" s="1"/>
      <c r="X10" s="1"/>
      <c r="Y10" s="1"/>
      <c r="Z10" s="72">
        <f t="shared" si="1"/>
        <v>0</v>
      </c>
    </row>
    <row r="11" spans="1:26" ht="12.75">
      <c r="A11" s="1">
        <v>8</v>
      </c>
      <c r="B11" s="1"/>
      <c r="C11" s="1"/>
      <c r="D11" s="1"/>
      <c r="E11" s="1"/>
      <c r="F11" s="1"/>
      <c r="G11" s="1"/>
      <c r="H11" s="72">
        <f t="shared" si="2"/>
        <v>0</v>
      </c>
      <c r="J11" s="1">
        <v>8</v>
      </c>
      <c r="K11" s="1"/>
      <c r="L11" s="1"/>
      <c r="M11" s="1"/>
      <c r="N11" s="1"/>
      <c r="O11" s="1"/>
      <c r="P11" s="1"/>
      <c r="Q11" s="72">
        <f t="shared" si="0"/>
        <v>0</v>
      </c>
      <c r="S11" s="1">
        <v>8</v>
      </c>
      <c r="T11" s="1"/>
      <c r="U11" s="1"/>
      <c r="V11" s="1"/>
      <c r="W11" s="1"/>
      <c r="X11" s="1"/>
      <c r="Y11" s="1"/>
      <c r="Z11" s="72">
        <f t="shared" si="1"/>
        <v>0</v>
      </c>
    </row>
    <row r="12" spans="1:26" ht="12.75">
      <c r="A12" s="1">
        <v>9</v>
      </c>
      <c r="B12" s="1"/>
      <c r="C12" s="1"/>
      <c r="D12" s="1"/>
      <c r="E12" s="1"/>
      <c r="F12" s="1"/>
      <c r="G12" s="1"/>
      <c r="H12" s="72">
        <f t="shared" si="2"/>
        <v>0</v>
      </c>
      <c r="J12" s="1">
        <v>9</v>
      </c>
      <c r="K12" s="1"/>
      <c r="L12" s="1"/>
      <c r="M12" s="1"/>
      <c r="N12" s="1"/>
      <c r="O12" s="1"/>
      <c r="P12" s="1"/>
      <c r="Q12" s="72">
        <f t="shared" si="0"/>
        <v>0</v>
      </c>
      <c r="S12" s="1">
        <v>9</v>
      </c>
      <c r="T12" s="1"/>
      <c r="U12" s="1"/>
      <c r="V12" s="1"/>
      <c r="W12" s="1"/>
      <c r="X12" s="1"/>
      <c r="Y12" s="1"/>
      <c r="Z12" s="72">
        <f t="shared" si="1"/>
        <v>0</v>
      </c>
    </row>
    <row r="13" spans="1:26" ht="12.75">
      <c r="A13" s="1">
        <v>10</v>
      </c>
      <c r="B13" s="1"/>
      <c r="C13" s="1"/>
      <c r="D13" s="1"/>
      <c r="E13" s="1"/>
      <c r="F13" s="1"/>
      <c r="G13" s="1"/>
      <c r="H13" s="72">
        <f t="shared" si="2"/>
        <v>0</v>
      </c>
      <c r="J13" s="1">
        <v>10</v>
      </c>
      <c r="K13" s="1"/>
      <c r="L13" s="1"/>
      <c r="M13" s="1"/>
      <c r="N13" s="1"/>
      <c r="O13" s="1"/>
      <c r="P13" s="1"/>
      <c r="Q13" s="72">
        <f t="shared" si="0"/>
        <v>0</v>
      </c>
      <c r="S13" s="1">
        <v>10</v>
      </c>
      <c r="T13" s="1"/>
      <c r="U13" s="1"/>
      <c r="V13" s="1"/>
      <c r="W13" s="1"/>
      <c r="X13" s="1"/>
      <c r="Y13" s="1"/>
      <c r="Z13" s="72">
        <f t="shared" si="1"/>
        <v>0</v>
      </c>
    </row>
    <row r="14" spans="1:26" ht="12.75">
      <c r="A14" s="2"/>
      <c r="B14" s="2"/>
      <c r="C14" s="2"/>
      <c r="D14" s="2"/>
      <c r="E14" s="2"/>
      <c r="F14" s="2"/>
      <c r="G14" s="74" t="s">
        <v>766</v>
      </c>
      <c r="H14" s="73">
        <f>SUM(H4:H13)</f>
        <v>0</v>
      </c>
      <c r="J14" s="2"/>
      <c r="K14" s="2"/>
      <c r="L14" s="2"/>
      <c r="M14" s="2"/>
      <c r="N14" s="2"/>
      <c r="O14" s="2"/>
      <c r="P14" s="74" t="s">
        <v>766</v>
      </c>
      <c r="Q14" s="73">
        <f>SUM(Q4:Q13)</f>
        <v>0</v>
      </c>
      <c r="S14" s="2"/>
      <c r="T14" s="2"/>
      <c r="U14" s="2"/>
      <c r="V14" s="2"/>
      <c r="W14" s="2"/>
      <c r="X14" s="2"/>
      <c r="Y14" s="74" t="s">
        <v>766</v>
      </c>
      <c r="Z14" s="73">
        <f>SUM(Z4:Z13)</f>
        <v>0</v>
      </c>
    </row>
    <row r="15" spans="1:26" ht="18">
      <c r="A15" s="242" t="s">
        <v>788</v>
      </c>
      <c r="B15" s="242"/>
      <c r="C15" s="242"/>
      <c r="D15" s="242"/>
      <c r="E15" s="242"/>
      <c r="F15" s="242"/>
      <c r="G15" s="242"/>
      <c r="H15" s="242"/>
      <c r="J15" s="242" t="s">
        <v>809</v>
      </c>
      <c r="K15" s="242"/>
      <c r="L15" s="242"/>
      <c r="M15" s="242"/>
      <c r="N15" s="242"/>
      <c r="O15" s="242"/>
      <c r="P15" s="242"/>
      <c r="Q15" s="242"/>
      <c r="S15" s="242" t="s">
        <v>1056</v>
      </c>
      <c r="T15" s="242"/>
      <c r="U15" s="242"/>
      <c r="V15" s="242"/>
      <c r="W15" s="242"/>
      <c r="X15" s="242"/>
      <c r="Y15" s="242"/>
      <c r="Z15" s="242"/>
    </row>
    <row r="16" spans="1:26" ht="12.75">
      <c r="A16" s="2"/>
      <c r="B16" s="2"/>
      <c r="C16" s="2"/>
      <c r="D16" s="2"/>
      <c r="E16" s="2"/>
      <c r="F16" s="2"/>
      <c r="G16" s="2"/>
      <c r="H16" s="73"/>
      <c r="J16" s="2"/>
      <c r="K16" s="2"/>
      <c r="L16" s="2"/>
      <c r="M16" s="2"/>
      <c r="N16" s="2"/>
      <c r="O16" s="2"/>
      <c r="P16" s="2"/>
      <c r="Q16" s="73"/>
      <c r="S16" s="2"/>
      <c r="T16" s="2"/>
      <c r="U16" s="2"/>
      <c r="V16" s="2"/>
      <c r="W16" s="2"/>
      <c r="X16" s="2"/>
      <c r="Y16" s="2"/>
      <c r="Z16" s="73"/>
    </row>
    <row r="17" spans="1:26" ht="12.75">
      <c r="A17" s="1">
        <v>11</v>
      </c>
      <c r="B17" s="1"/>
      <c r="C17" s="1"/>
      <c r="D17" s="1"/>
      <c r="E17" s="1"/>
      <c r="F17" s="1"/>
      <c r="G17" s="1"/>
      <c r="H17" s="72">
        <f t="shared" si="2"/>
        <v>0</v>
      </c>
      <c r="J17" s="1">
        <v>11</v>
      </c>
      <c r="K17" s="1"/>
      <c r="L17" s="1"/>
      <c r="M17" s="1"/>
      <c r="N17" s="1"/>
      <c r="O17" s="1"/>
      <c r="P17" s="1"/>
      <c r="Q17" s="72">
        <f aca="true" t="shared" si="3" ref="Q17:Q56">N17*O17*P17</f>
        <v>0</v>
      </c>
      <c r="S17" s="1">
        <v>11</v>
      </c>
      <c r="T17" s="1"/>
      <c r="U17" s="1"/>
      <c r="V17" s="1"/>
      <c r="W17" s="1"/>
      <c r="X17" s="1"/>
      <c r="Y17" s="1"/>
      <c r="Z17" s="72">
        <f aca="true" t="shared" si="4" ref="Z17:Z56">W17*X17*Y17</f>
        <v>0</v>
      </c>
    </row>
    <row r="18" spans="1:26" ht="12.75">
      <c r="A18" s="1">
        <v>12</v>
      </c>
      <c r="B18" s="1"/>
      <c r="C18" s="1"/>
      <c r="D18" s="1"/>
      <c r="E18" s="1"/>
      <c r="F18" s="1"/>
      <c r="G18" s="1"/>
      <c r="H18" s="72">
        <f t="shared" si="2"/>
        <v>0</v>
      </c>
      <c r="J18" s="1">
        <v>12</v>
      </c>
      <c r="K18" s="1"/>
      <c r="L18" s="1"/>
      <c r="M18" s="1"/>
      <c r="N18" s="1"/>
      <c r="O18" s="1"/>
      <c r="P18" s="1"/>
      <c r="Q18" s="72">
        <f t="shared" si="3"/>
        <v>0</v>
      </c>
      <c r="S18" s="1">
        <v>12</v>
      </c>
      <c r="T18" s="1"/>
      <c r="U18" s="1"/>
      <c r="V18" s="1"/>
      <c r="W18" s="1"/>
      <c r="X18" s="1"/>
      <c r="Y18" s="1"/>
      <c r="Z18" s="72">
        <f t="shared" si="4"/>
        <v>0</v>
      </c>
    </row>
    <row r="19" spans="1:26" ht="12.75">
      <c r="A19" s="1">
        <v>13</v>
      </c>
      <c r="B19" s="1"/>
      <c r="C19" s="1"/>
      <c r="D19" s="1"/>
      <c r="E19" s="1"/>
      <c r="F19" s="1"/>
      <c r="G19" s="1"/>
      <c r="H19" s="72">
        <f t="shared" si="2"/>
        <v>0</v>
      </c>
      <c r="J19" s="1">
        <v>13</v>
      </c>
      <c r="K19" s="1"/>
      <c r="L19" s="1"/>
      <c r="M19" s="1"/>
      <c r="N19" s="1"/>
      <c r="O19" s="1"/>
      <c r="P19" s="1"/>
      <c r="Q19" s="72">
        <f t="shared" si="3"/>
        <v>0</v>
      </c>
      <c r="S19" s="1">
        <v>13</v>
      </c>
      <c r="T19" s="1"/>
      <c r="U19" s="1"/>
      <c r="V19" s="1"/>
      <c r="W19" s="1"/>
      <c r="X19" s="1"/>
      <c r="Y19" s="1"/>
      <c r="Z19" s="72">
        <f t="shared" si="4"/>
        <v>0</v>
      </c>
    </row>
    <row r="20" spans="1:26" ht="12.75">
      <c r="A20" s="1">
        <v>14</v>
      </c>
      <c r="B20" s="1"/>
      <c r="C20" s="1"/>
      <c r="D20" s="1"/>
      <c r="E20" s="1"/>
      <c r="F20" s="1"/>
      <c r="G20" s="1"/>
      <c r="H20" s="72">
        <f t="shared" si="2"/>
        <v>0</v>
      </c>
      <c r="J20" s="1">
        <v>14</v>
      </c>
      <c r="K20" s="1"/>
      <c r="L20" s="1"/>
      <c r="M20" s="1"/>
      <c r="N20" s="1"/>
      <c r="O20" s="1"/>
      <c r="P20" s="1"/>
      <c r="Q20" s="72">
        <f t="shared" si="3"/>
        <v>0</v>
      </c>
      <c r="S20" s="1">
        <v>14</v>
      </c>
      <c r="T20" s="1"/>
      <c r="U20" s="1"/>
      <c r="V20" s="1"/>
      <c r="W20" s="1"/>
      <c r="X20" s="1"/>
      <c r="Y20" s="1"/>
      <c r="Z20" s="72">
        <f t="shared" si="4"/>
        <v>0</v>
      </c>
    </row>
    <row r="21" spans="1:26" ht="12.75">
      <c r="A21" s="1">
        <v>15</v>
      </c>
      <c r="B21" s="1"/>
      <c r="C21" s="1"/>
      <c r="D21" s="1"/>
      <c r="E21" s="1"/>
      <c r="F21" s="1"/>
      <c r="G21" s="1"/>
      <c r="H21" s="72">
        <f t="shared" si="2"/>
        <v>0</v>
      </c>
      <c r="J21" s="1">
        <v>15</v>
      </c>
      <c r="K21" s="1"/>
      <c r="L21" s="1"/>
      <c r="M21" s="1"/>
      <c r="N21" s="1"/>
      <c r="O21" s="1"/>
      <c r="P21" s="1"/>
      <c r="Q21" s="72">
        <f t="shared" si="3"/>
        <v>0</v>
      </c>
      <c r="S21" s="1">
        <v>15</v>
      </c>
      <c r="T21" s="1"/>
      <c r="U21" s="1"/>
      <c r="V21" s="1"/>
      <c r="W21" s="1"/>
      <c r="X21" s="1"/>
      <c r="Y21" s="1"/>
      <c r="Z21" s="72">
        <f t="shared" si="4"/>
        <v>0</v>
      </c>
    </row>
    <row r="22" spans="1:26" ht="12.75">
      <c r="A22" s="1">
        <v>16</v>
      </c>
      <c r="B22" s="1"/>
      <c r="C22" s="1"/>
      <c r="D22" s="1"/>
      <c r="E22" s="1"/>
      <c r="F22" s="1"/>
      <c r="G22" s="1"/>
      <c r="H22" s="72">
        <f t="shared" si="2"/>
        <v>0</v>
      </c>
      <c r="J22" s="1">
        <v>16</v>
      </c>
      <c r="K22" s="1"/>
      <c r="L22" s="1"/>
      <c r="M22" s="1"/>
      <c r="N22" s="1"/>
      <c r="O22" s="1"/>
      <c r="P22" s="1"/>
      <c r="Q22" s="72">
        <f t="shared" si="3"/>
        <v>0</v>
      </c>
      <c r="S22" s="1">
        <v>16</v>
      </c>
      <c r="T22" s="1"/>
      <c r="U22" s="1"/>
      <c r="V22" s="1"/>
      <c r="W22" s="1"/>
      <c r="X22" s="1"/>
      <c r="Y22" s="1"/>
      <c r="Z22" s="72">
        <f t="shared" si="4"/>
        <v>0</v>
      </c>
    </row>
    <row r="23" spans="1:26" ht="12.75">
      <c r="A23" s="1">
        <v>17</v>
      </c>
      <c r="B23" s="1"/>
      <c r="C23" s="1"/>
      <c r="D23" s="1"/>
      <c r="E23" s="1"/>
      <c r="F23" s="1"/>
      <c r="G23" s="1"/>
      <c r="H23" s="72">
        <f t="shared" si="2"/>
        <v>0</v>
      </c>
      <c r="J23" s="1">
        <v>17</v>
      </c>
      <c r="K23" s="1"/>
      <c r="L23" s="1"/>
      <c r="M23" s="1"/>
      <c r="N23" s="1"/>
      <c r="O23" s="1"/>
      <c r="P23" s="1"/>
      <c r="Q23" s="72">
        <f t="shared" si="3"/>
        <v>0</v>
      </c>
      <c r="S23" s="1">
        <v>17</v>
      </c>
      <c r="T23" s="1"/>
      <c r="U23" s="1"/>
      <c r="V23" s="1"/>
      <c r="W23" s="1"/>
      <c r="X23" s="1"/>
      <c r="Y23" s="1"/>
      <c r="Z23" s="72">
        <f t="shared" si="4"/>
        <v>0</v>
      </c>
    </row>
    <row r="24" spans="1:26" ht="12.75">
      <c r="A24" s="1">
        <v>18</v>
      </c>
      <c r="B24" s="1"/>
      <c r="C24" s="1"/>
      <c r="D24" s="1"/>
      <c r="E24" s="1"/>
      <c r="F24" s="1"/>
      <c r="G24" s="1"/>
      <c r="H24" s="72">
        <f t="shared" si="2"/>
        <v>0</v>
      </c>
      <c r="J24" s="1">
        <v>18</v>
      </c>
      <c r="K24" s="1"/>
      <c r="L24" s="1"/>
      <c r="M24" s="1"/>
      <c r="N24" s="1"/>
      <c r="O24" s="1"/>
      <c r="P24" s="1"/>
      <c r="Q24" s="72">
        <f t="shared" si="3"/>
        <v>0</v>
      </c>
      <c r="S24" s="1">
        <v>18</v>
      </c>
      <c r="T24" s="1"/>
      <c r="U24" s="1"/>
      <c r="V24" s="1"/>
      <c r="W24" s="1"/>
      <c r="X24" s="1"/>
      <c r="Y24" s="1"/>
      <c r="Z24" s="72">
        <f t="shared" si="4"/>
        <v>0</v>
      </c>
    </row>
    <row r="25" spans="1:26" ht="12.75">
      <c r="A25" s="1">
        <v>19</v>
      </c>
      <c r="B25" s="1"/>
      <c r="C25" s="1"/>
      <c r="D25" s="1"/>
      <c r="E25" s="1"/>
      <c r="F25" s="1"/>
      <c r="G25" s="1"/>
      <c r="H25" s="72">
        <f t="shared" si="2"/>
        <v>0</v>
      </c>
      <c r="J25" s="1">
        <v>19</v>
      </c>
      <c r="K25" s="1"/>
      <c r="L25" s="1"/>
      <c r="M25" s="1"/>
      <c r="N25" s="1"/>
      <c r="O25" s="1"/>
      <c r="P25" s="1"/>
      <c r="Q25" s="72">
        <f t="shared" si="3"/>
        <v>0</v>
      </c>
      <c r="S25" s="1">
        <v>19</v>
      </c>
      <c r="T25" s="1"/>
      <c r="U25" s="1"/>
      <c r="V25" s="1"/>
      <c r="W25" s="1"/>
      <c r="X25" s="1"/>
      <c r="Y25" s="1"/>
      <c r="Z25" s="72">
        <f t="shared" si="4"/>
        <v>0</v>
      </c>
    </row>
    <row r="26" spans="1:26" ht="12.75">
      <c r="A26" s="1">
        <v>20</v>
      </c>
      <c r="B26" s="1"/>
      <c r="C26" s="1"/>
      <c r="D26" s="1"/>
      <c r="E26" s="1"/>
      <c r="F26" s="1"/>
      <c r="G26" s="1"/>
      <c r="H26" s="72">
        <f t="shared" si="2"/>
        <v>0</v>
      </c>
      <c r="J26" s="1">
        <v>20</v>
      </c>
      <c r="K26" s="1"/>
      <c r="L26" s="1"/>
      <c r="M26" s="1"/>
      <c r="N26" s="1"/>
      <c r="O26" s="1"/>
      <c r="P26" s="1"/>
      <c r="Q26" s="72">
        <f t="shared" si="3"/>
        <v>0</v>
      </c>
      <c r="S26" s="1">
        <v>20</v>
      </c>
      <c r="T26" s="1"/>
      <c r="U26" s="1"/>
      <c r="V26" s="1"/>
      <c r="W26" s="1"/>
      <c r="X26" s="1"/>
      <c r="Y26" s="1"/>
      <c r="Z26" s="72">
        <f t="shared" si="4"/>
        <v>0</v>
      </c>
    </row>
    <row r="27" spans="1:26" ht="12.75">
      <c r="A27" s="1">
        <v>21</v>
      </c>
      <c r="B27" s="1"/>
      <c r="C27" s="1"/>
      <c r="D27" s="1"/>
      <c r="E27" s="1"/>
      <c r="F27" s="1"/>
      <c r="G27" s="1"/>
      <c r="H27" s="72">
        <f t="shared" si="2"/>
        <v>0</v>
      </c>
      <c r="J27" s="1">
        <v>21</v>
      </c>
      <c r="K27" s="1"/>
      <c r="L27" s="1"/>
      <c r="M27" s="1"/>
      <c r="N27" s="1"/>
      <c r="O27" s="1"/>
      <c r="P27" s="1"/>
      <c r="Q27" s="72">
        <f t="shared" si="3"/>
        <v>0</v>
      </c>
      <c r="S27" s="1">
        <v>21</v>
      </c>
      <c r="T27" s="1"/>
      <c r="U27" s="1"/>
      <c r="V27" s="1"/>
      <c r="W27" s="1"/>
      <c r="X27" s="1"/>
      <c r="Y27" s="1"/>
      <c r="Z27" s="72">
        <f t="shared" si="4"/>
        <v>0</v>
      </c>
    </row>
    <row r="28" spans="1:26" ht="12.75">
      <c r="A28" s="1">
        <v>22</v>
      </c>
      <c r="B28" s="1"/>
      <c r="C28" s="1"/>
      <c r="D28" s="1"/>
      <c r="E28" s="1"/>
      <c r="F28" s="1"/>
      <c r="G28" s="1"/>
      <c r="H28" s="72">
        <f t="shared" si="2"/>
        <v>0</v>
      </c>
      <c r="J28" s="1">
        <v>22</v>
      </c>
      <c r="K28" s="1"/>
      <c r="L28" s="1"/>
      <c r="M28" s="1"/>
      <c r="N28" s="1"/>
      <c r="O28" s="1"/>
      <c r="P28" s="1"/>
      <c r="Q28" s="72">
        <f t="shared" si="3"/>
        <v>0</v>
      </c>
      <c r="S28" s="1">
        <v>22</v>
      </c>
      <c r="T28" s="1"/>
      <c r="U28" s="1"/>
      <c r="V28" s="1"/>
      <c r="W28" s="1"/>
      <c r="X28" s="1"/>
      <c r="Y28" s="1"/>
      <c r="Z28" s="72">
        <f t="shared" si="4"/>
        <v>0</v>
      </c>
    </row>
    <row r="29" spans="1:26" ht="12.75">
      <c r="A29" s="1">
        <v>23</v>
      </c>
      <c r="B29" s="1"/>
      <c r="C29" s="1"/>
      <c r="D29" s="1"/>
      <c r="E29" s="1"/>
      <c r="F29" s="1"/>
      <c r="G29" s="1"/>
      <c r="H29" s="72">
        <f t="shared" si="2"/>
        <v>0</v>
      </c>
      <c r="J29" s="1">
        <v>23</v>
      </c>
      <c r="K29" s="1"/>
      <c r="L29" s="1"/>
      <c r="M29" s="1"/>
      <c r="N29" s="1"/>
      <c r="O29" s="1"/>
      <c r="P29" s="1"/>
      <c r="Q29" s="72">
        <f t="shared" si="3"/>
        <v>0</v>
      </c>
      <c r="S29" s="1">
        <v>23</v>
      </c>
      <c r="T29" s="1"/>
      <c r="U29" s="1"/>
      <c r="V29" s="1"/>
      <c r="W29" s="1"/>
      <c r="X29" s="1"/>
      <c r="Y29" s="1"/>
      <c r="Z29" s="72">
        <f t="shared" si="4"/>
        <v>0</v>
      </c>
    </row>
    <row r="30" spans="1:26" ht="12.75">
      <c r="A30" s="1">
        <v>24</v>
      </c>
      <c r="B30" s="1"/>
      <c r="C30" s="1"/>
      <c r="D30" s="1"/>
      <c r="E30" s="1"/>
      <c r="F30" s="1"/>
      <c r="G30" s="1"/>
      <c r="H30" s="72">
        <f t="shared" si="2"/>
        <v>0</v>
      </c>
      <c r="J30" s="1">
        <v>24</v>
      </c>
      <c r="K30" s="1"/>
      <c r="L30" s="1"/>
      <c r="M30" s="1"/>
      <c r="N30" s="1"/>
      <c r="O30" s="1"/>
      <c r="P30" s="1"/>
      <c r="Q30" s="72">
        <f t="shared" si="3"/>
        <v>0</v>
      </c>
      <c r="S30" s="1">
        <v>24</v>
      </c>
      <c r="T30" s="1"/>
      <c r="U30" s="1"/>
      <c r="V30" s="1"/>
      <c r="W30" s="1"/>
      <c r="X30" s="1"/>
      <c r="Y30" s="1"/>
      <c r="Z30" s="72">
        <f t="shared" si="4"/>
        <v>0</v>
      </c>
    </row>
    <row r="31" spans="1:26" ht="12.75">
      <c r="A31" s="1">
        <v>25</v>
      </c>
      <c r="B31" s="1"/>
      <c r="C31" s="1"/>
      <c r="D31" s="1"/>
      <c r="E31" s="1"/>
      <c r="F31" s="1"/>
      <c r="G31" s="1"/>
      <c r="H31" s="72">
        <f t="shared" si="2"/>
        <v>0</v>
      </c>
      <c r="J31" s="1">
        <v>25</v>
      </c>
      <c r="K31" s="1"/>
      <c r="L31" s="1"/>
      <c r="M31" s="1"/>
      <c r="N31" s="1"/>
      <c r="O31" s="1"/>
      <c r="P31" s="1"/>
      <c r="Q31" s="72">
        <f t="shared" si="3"/>
        <v>0</v>
      </c>
      <c r="S31" s="1">
        <v>25</v>
      </c>
      <c r="T31" s="1"/>
      <c r="U31" s="1"/>
      <c r="V31" s="1"/>
      <c r="W31" s="1"/>
      <c r="X31" s="1"/>
      <c r="Y31" s="1"/>
      <c r="Z31" s="72">
        <f t="shared" si="4"/>
        <v>0</v>
      </c>
    </row>
    <row r="32" spans="1:26" ht="12.75">
      <c r="A32" s="1">
        <v>26</v>
      </c>
      <c r="B32" s="1"/>
      <c r="C32" s="1"/>
      <c r="D32" s="1"/>
      <c r="E32" s="1"/>
      <c r="F32" s="1"/>
      <c r="G32" s="1"/>
      <c r="H32" s="72">
        <f t="shared" si="2"/>
        <v>0</v>
      </c>
      <c r="J32" s="1">
        <v>26</v>
      </c>
      <c r="K32" s="1"/>
      <c r="L32" s="1"/>
      <c r="M32" s="1"/>
      <c r="N32" s="1"/>
      <c r="O32" s="1"/>
      <c r="P32" s="1"/>
      <c r="Q32" s="72">
        <f t="shared" si="3"/>
        <v>0</v>
      </c>
      <c r="S32" s="1">
        <v>26</v>
      </c>
      <c r="T32" s="1"/>
      <c r="U32" s="1"/>
      <c r="V32" s="1"/>
      <c r="W32" s="1"/>
      <c r="X32" s="1"/>
      <c r="Y32" s="1"/>
      <c r="Z32" s="72">
        <f t="shared" si="4"/>
        <v>0</v>
      </c>
    </row>
    <row r="33" spans="1:26" ht="12.75">
      <c r="A33" s="1">
        <v>27</v>
      </c>
      <c r="B33" s="1"/>
      <c r="C33" s="1"/>
      <c r="D33" s="1"/>
      <c r="E33" s="1"/>
      <c r="F33" s="1"/>
      <c r="G33" s="1"/>
      <c r="H33" s="72">
        <f t="shared" si="2"/>
        <v>0</v>
      </c>
      <c r="J33" s="1">
        <v>27</v>
      </c>
      <c r="K33" s="1"/>
      <c r="L33" s="1"/>
      <c r="M33" s="1"/>
      <c r="N33" s="1"/>
      <c r="O33" s="1"/>
      <c r="P33" s="1"/>
      <c r="Q33" s="72">
        <f t="shared" si="3"/>
        <v>0</v>
      </c>
      <c r="S33" s="1">
        <v>27</v>
      </c>
      <c r="T33" s="1"/>
      <c r="U33" s="1"/>
      <c r="V33" s="1"/>
      <c r="W33" s="1"/>
      <c r="X33" s="1"/>
      <c r="Y33" s="1"/>
      <c r="Z33" s="72">
        <f t="shared" si="4"/>
        <v>0</v>
      </c>
    </row>
    <row r="34" spans="1:26" ht="12.75">
      <c r="A34" s="1">
        <v>28</v>
      </c>
      <c r="B34" s="1"/>
      <c r="C34" s="1"/>
      <c r="D34" s="1"/>
      <c r="E34" s="1"/>
      <c r="F34" s="1"/>
      <c r="G34" s="1"/>
      <c r="H34" s="72">
        <f t="shared" si="2"/>
        <v>0</v>
      </c>
      <c r="J34" s="1">
        <v>28</v>
      </c>
      <c r="K34" s="1"/>
      <c r="L34" s="1"/>
      <c r="M34" s="1"/>
      <c r="N34" s="1"/>
      <c r="O34" s="1"/>
      <c r="P34" s="1"/>
      <c r="Q34" s="72">
        <f t="shared" si="3"/>
        <v>0</v>
      </c>
      <c r="S34" s="1">
        <v>28</v>
      </c>
      <c r="T34" s="1"/>
      <c r="U34" s="1"/>
      <c r="V34" s="1"/>
      <c r="W34" s="1"/>
      <c r="X34" s="1"/>
      <c r="Y34" s="1"/>
      <c r="Z34" s="72">
        <f t="shared" si="4"/>
        <v>0</v>
      </c>
    </row>
    <row r="35" spans="1:26" ht="12.75">
      <c r="A35" s="1">
        <v>29</v>
      </c>
      <c r="B35" s="1"/>
      <c r="C35" s="1"/>
      <c r="D35" s="1"/>
      <c r="E35" s="1"/>
      <c r="F35" s="1"/>
      <c r="G35" s="1"/>
      <c r="H35" s="72">
        <f t="shared" si="2"/>
        <v>0</v>
      </c>
      <c r="J35" s="1">
        <v>29</v>
      </c>
      <c r="K35" s="1"/>
      <c r="L35" s="1"/>
      <c r="M35" s="1"/>
      <c r="N35" s="1"/>
      <c r="O35" s="1"/>
      <c r="P35" s="1"/>
      <c r="Q35" s="72">
        <f t="shared" si="3"/>
        <v>0</v>
      </c>
      <c r="S35" s="1">
        <v>29</v>
      </c>
      <c r="T35" s="1"/>
      <c r="U35" s="1"/>
      <c r="V35" s="1"/>
      <c r="W35" s="1"/>
      <c r="X35" s="1"/>
      <c r="Y35" s="1"/>
      <c r="Z35" s="72">
        <f t="shared" si="4"/>
        <v>0</v>
      </c>
    </row>
    <row r="36" spans="1:26" ht="12.75">
      <c r="A36" s="1">
        <v>30</v>
      </c>
      <c r="B36" s="1"/>
      <c r="C36" s="1"/>
      <c r="D36" s="1"/>
      <c r="E36" s="1"/>
      <c r="F36" s="1"/>
      <c r="G36" s="1"/>
      <c r="H36" s="72">
        <f t="shared" si="2"/>
        <v>0</v>
      </c>
      <c r="J36" s="1">
        <v>30</v>
      </c>
      <c r="K36" s="1"/>
      <c r="L36" s="1"/>
      <c r="M36" s="1"/>
      <c r="N36" s="1"/>
      <c r="O36" s="1"/>
      <c r="P36" s="1"/>
      <c r="Q36" s="72">
        <f t="shared" si="3"/>
        <v>0</v>
      </c>
      <c r="S36" s="1">
        <v>30</v>
      </c>
      <c r="T36" s="1"/>
      <c r="U36" s="1"/>
      <c r="V36" s="1"/>
      <c r="W36" s="1"/>
      <c r="X36" s="1"/>
      <c r="Y36" s="1"/>
      <c r="Z36" s="72">
        <f t="shared" si="4"/>
        <v>0</v>
      </c>
    </row>
    <row r="37" spans="1:26" ht="12.75">
      <c r="A37" s="1">
        <v>31</v>
      </c>
      <c r="B37" s="1"/>
      <c r="C37" s="1"/>
      <c r="D37" s="1"/>
      <c r="E37" s="1"/>
      <c r="F37" s="1"/>
      <c r="G37" s="1"/>
      <c r="H37" s="72">
        <f t="shared" si="2"/>
        <v>0</v>
      </c>
      <c r="J37" s="1">
        <v>31</v>
      </c>
      <c r="K37" s="1"/>
      <c r="L37" s="1"/>
      <c r="M37" s="1"/>
      <c r="N37" s="1"/>
      <c r="O37" s="1"/>
      <c r="P37" s="1"/>
      <c r="Q37" s="72">
        <f t="shared" si="3"/>
        <v>0</v>
      </c>
      <c r="S37" s="1">
        <v>31</v>
      </c>
      <c r="T37" s="1"/>
      <c r="U37" s="1"/>
      <c r="V37" s="1"/>
      <c r="W37" s="1"/>
      <c r="X37" s="1"/>
      <c r="Y37" s="1"/>
      <c r="Z37" s="72">
        <f t="shared" si="4"/>
        <v>0</v>
      </c>
    </row>
    <row r="38" spans="1:26" ht="12.75">
      <c r="A38" s="1">
        <v>32</v>
      </c>
      <c r="B38" s="1"/>
      <c r="C38" s="1"/>
      <c r="D38" s="1"/>
      <c r="E38" s="1"/>
      <c r="F38" s="1"/>
      <c r="G38" s="1"/>
      <c r="H38" s="72">
        <f t="shared" si="2"/>
        <v>0</v>
      </c>
      <c r="J38" s="1">
        <v>32</v>
      </c>
      <c r="K38" s="1"/>
      <c r="L38" s="1"/>
      <c r="M38" s="1"/>
      <c r="N38" s="1"/>
      <c r="O38" s="1"/>
      <c r="P38" s="1"/>
      <c r="Q38" s="72">
        <f t="shared" si="3"/>
        <v>0</v>
      </c>
      <c r="S38" s="1">
        <v>32</v>
      </c>
      <c r="T38" s="1"/>
      <c r="U38" s="1"/>
      <c r="V38" s="1"/>
      <c r="W38" s="1"/>
      <c r="X38" s="1"/>
      <c r="Y38" s="1"/>
      <c r="Z38" s="72">
        <f t="shared" si="4"/>
        <v>0</v>
      </c>
    </row>
    <row r="39" spans="1:26" ht="12.75">
      <c r="A39" s="1">
        <v>33</v>
      </c>
      <c r="B39" s="1"/>
      <c r="C39" s="1"/>
      <c r="D39" s="1"/>
      <c r="E39" s="1"/>
      <c r="F39" s="1"/>
      <c r="G39" s="1"/>
      <c r="H39" s="72">
        <f t="shared" si="2"/>
        <v>0</v>
      </c>
      <c r="J39" s="1">
        <v>33</v>
      </c>
      <c r="K39" s="1"/>
      <c r="L39" s="1"/>
      <c r="M39" s="1"/>
      <c r="N39" s="1"/>
      <c r="O39" s="1"/>
      <c r="P39" s="1"/>
      <c r="Q39" s="72">
        <f t="shared" si="3"/>
        <v>0</v>
      </c>
      <c r="S39" s="1">
        <v>33</v>
      </c>
      <c r="T39" s="1"/>
      <c r="U39" s="1"/>
      <c r="V39" s="1"/>
      <c r="W39" s="1"/>
      <c r="X39" s="1"/>
      <c r="Y39" s="1"/>
      <c r="Z39" s="72">
        <f t="shared" si="4"/>
        <v>0</v>
      </c>
    </row>
    <row r="40" spans="1:26" ht="12.75">
      <c r="A40" s="1">
        <v>34</v>
      </c>
      <c r="B40" s="1"/>
      <c r="C40" s="1"/>
      <c r="D40" s="1"/>
      <c r="E40" s="1"/>
      <c r="F40" s="1"/>
      <c r="G40" s="1"/>
      <c r="H40" s="72">
        <f t="shared" si="2"/>
        <v>0</v>
      </c>
      <c r="J40" s="1">
        <v>34</v>
      </c>
      <c r="K40" s="1"/>
      <c r="L40" s="1"/>
      <c r="M40" s="1"/>
      <c r="N40" s="1"/>
      <c r="O40" s="1"/>
      <c r="P40" s="1"/>
      <c r="Q40" s="72">
        <f t="shared" si="3"/>
        <v>0</v>
      </c>
      <c r="S40" s="1">
        <v>34</v>
      </c>
      <c r="T40" s="1"/>
      <c r="U40" s="1"/>
      <c r="V40" s="1"/>
      <c r="W40" s="1"/>
      <c r="X40" s="1"/>
      <c r="Y40" s="1"/>
      <c r="Z40" s="72">
        <f t="shared" si="4"/>
        <v>0</v>
      </c>
    </row>
    <row r="41" spans="1:26" ht="12.75">
      <c r="A41" s="1">
        <v>35</v>
      </c>
      <c r="B41" s="1"/>
      <c r="C41" s="1"/>
      <c r="D41" s="1"/>
      <c r="E41" s="1"/>
      <c r="F41" s="1"/>
      <c r="G41" s="1"/>
      <c r="H41" s="72">
        <f t="shared" si="2"/>
        <v>0</v>
      </c>
      <c r="J41" s="1">
        <v>35</v>
      </c>
      <c r="K41" s="1"/>
      <c r="L41" s="1"/>
      <c r="M41" s="1"/>
      <c r="N41" s="1"/>
      <c r="O41" s="1"/>
      <c r="P41" s="1"/>
      <c r="Q41" s="72">
        <f t="shared" si="3"/>
        <v>0</v>
      </c>
      <c r="S41" s="1">
        <v>35</v>
      </c>
      <c r="T41" s="1"/>
      <c r="U41" s="1"/>
      <c r="V41" s="1"/>
      <c r="W41" s="1"/>
      <c r="X41" s="1"/>
      <c r="Y41" s="1"/>
      <c r="Z41" s="72">
        <f t="shared" si="4"/>
        <v>0</v>
      </c>
    </row>
    <row r="42" spans="1:26" ht="12.75">
      <c r="A42" s="1">
        <v>36</v>
      </c>
      <c r="B42" s="1"/>
      <c r="C42" s="1"/>
      <c r="D42" s="1"/>
      <c r="E42" s="1"/>
      <c r="F42" s="1"/>
      <c r="G42" s="1"/>
      <c r="H42" s="72">
        <f t="shared" si="2"/>
        <v>0</v>
      </c>
      <c r="J42" s="1">
        <v>36</v>
      </c>
      <c r="K42" s="1"/>
      <c r="L42" s="1"/>
      <c r="M42" s="1"/>
      <c r="N42" s="1"/>
      <c r="O42" s="1"/>
      <c r="P42" s="1"/>
      <c r="Q42" s="72">
        <f t="shared" si="3"/>
        <v>0</v>
      </c>
      <c r="S42" s="1">
        <v>36</v>
      </c>
      <c r="T42" s="1"/>
      <c r="U42" s="1"/>
      <c r="V42" s="1"/>
      <c r="W42" s="1"/>
      <c r="X42" s="1"/>
      <c r="Y42" s="1"/>
      <c r="Z42" s="72">
        <f t="shared" si="4"/>
        <v>0</v>
      </c>
    </row>
    <row r="43" spans="1:26" ht="12.75">
      <c r="A43" s="1">
        <v>37</v>
      </c>
      <c r="B43" s="1"/>
      <c r="C43" s="1"/>
      <c r="D43" s="1"/>
      <c r="E43" s="1"/>
      <c r="F43" s="1"/>
      <c r="G43" s="1"/>
      <c r="H43" s="72">
        <f t="shared" si="2"/>
        <v>0</v>
      </c>
      <c r="J43" s="1">
        <v>37</v>
      </c>
      <c r="K43" s="1"/>
      <c r="L43" s="1"/>
      <c r="M43" s="1"/>
      <c r="N43" s="1"/>
      <c r="O43" s="1"/>
      <c r="P43" s="1"/>
      <c r="Q43" s="72">
        <f t="shared" si="3"/>
        <v>0</v>
      </c>
      <c r="S43" s="1">
        <v>37</v>
      </c>
      <c r="T43" s="1"/>
      <c r="U43" s="1"/>
      <c r="V43" s="1"/>
      <c r="W43" s="1"/>
      <c r="X43" s="1"/>
      <c r="Y43" s="1"/>
      <c r="Z43" s="72">
        <f t="shared" si="4"/>
        <v>0</v>
      </c>
    </row>
    <row r="44" spans="1:26" ht="12.75">
      <c r="A44" s="1">
        <v>38</v>
      </c>
      <c r="B44" s="1"/>
      <c r="C44" s="1"/>
      <c r="D44" s="1"/>
      <c r="E44" s="1"/>
      <c r="F44" s="1"/>
      <c r="G44" s="1"/>
      <c r="H44" s="72">
        <f t="shared" si="2"/>
        <v>0</v>
      </c>
      <c r="J44" s="1">
        <v>38</v>
      </c>
      <c r="K44" s="1"/>
      <c r="L44" s="1"/>
      <c r="M44" s="1"/>
      <c r="N44" s="1"/>
      <c r="O44" s="1"/>
      <c r="P44" s="1"/>
      <c r="Q44" s="72">
        <f t="shared" si="3"/>
        <v>0</v>
      </c>
      <c r="S44" s="1">
        <v>38</v>
      </c>
      <c r="T44" s="1"/>
      <c r="U44" s="1"/>
      <c r="V44" s="1"/>
      <c r="W44" s="1"/>
      <c r="X44" s="1"/>
      <c r="Y44" s="1"/>
      <c r="Z44" s="72">
        <f t="shared" si="4"/>
        <v>0</v>
      </c>
    </row>
    <row r="45" spans="1:26" ht="12.75">
      <c r="A45" s="1">
        <v>39</v>
      </c>
      <c r="B45" s="1"/>
      <c r="C45" s="1"/>
      <c r="D45" s="1"/>
      <c r="E45" s="1"/>
      <c r="F45" s="1"/>
      <c r="G45" s="1"/>
      <c r="H45" s="72">
        <f t="shared" si="2"/>
        <v>0</v>
      </c>
      <c r="J45" s="1">
        <v>39</v>
      </c>
      <c r="K45" s="1"/>
      <c r="L45" s="1"/>
      <c r="M45" s="1"/>
      <c r="N45" s="1"/>
      <c r="O45" s="1"/>
      <c r="P45" s="1"/>
      <c r="Q45" s="72">
        <f t="shared" si="3"/>
        <v>0</v>
      </c>
      <c r="S45" s="1">
        <v>39</v>
      </c>
      <c r="T45" s="1"/>
      <c r="U45" s="1"/>
      <c r="V45" s="1"/>
      <c r="W45" s="1"/>
      <c r="X45" s="1"/>
      <c r="Y45" s="1"/>
      <c r="Z45" s="72">
        <f t="shared" si="4"/>
        <v>0</v>
      </c>
    </row>
    <row r="46" spans="1:26" ht="12.75">
      <c r="A46" s="1">
        <v>40</v>
      </c>
      <c r="B46" s="1"/>
      <c r="C46" s="1"/>
      <c r="D46" s="1"/>
      <c r="E46" s="1"/>
      <c r="F46" s="1"/>
      <c r="G46" s="1"/>
      <c r="H46" s="72">
        <f t="shared" si="2"/>
        <v>0</v>
      </c>
      <c r="J46" s="1">
        <v>40</v>
      </c>
      <c r="K46" s="1"/>
      <c r="L46" s="1"/>
      <c r="M46" s="1"/>
      <c r="N46" s="1"/>
      <c r="O46" s="1"/>
      <c r="P46" s="1"/>
      <c r="Q46" s="72">
        <f t="shared" si="3"/>
        <v>0</v>
      </c>
      <c r="S46" s="1">
        <v>40</v>
      </c>
      <c r="T46" s="1"/>
      <c r="U46" s="1"/>
      <c r="V46" s="1"/>
      <c r="W46" s="1"/>
      <c r="X46" s="1"/>
      <c r="Y46" s="1"/>
      <c r="Z46" s="72">
        <f t="shared" si="4"/>
        <v>0</v>
      </c>
    </row>
    <row r="47" spans="1:26" ht="12.75">
      <c r="A47" s="1">
        <v>41</v>
      </c>
      <c r="B47" s="1"/>
      <c r="C47" s="1"/>
      <c r="D47" s="1"/>
      <c r="E47" s="1"/>
      <c r="F47" s="1"/>
      <c r="G47" s="1"/>
      <c r="H47" s="72">
        <f t="shared" si="2"/>
        <v>0</v>
      </c>
      <c r="J47" s="1">
        <v>41</v>
      </c>
      <c r="K47" s="1"/>
      <c r="L47" s="1"/>
      <c r="M47" s="1"/>
      <c r="N47" s="1"/>
      <c r="O47" s="1"/>
      <c r="P47" s="1"/>
      <c r="Q47" s="72">
        <f t="shared" si="3"/>
        <v>0</v>
      </c>
      <c r="S47" s="1">
        <v>41</v>
      </c>
      <c r="T47" s="1"/>
      <c r="U47" s="1"/>
      <c r="V47" s="1"/>
      <c r="W47" s="1"/>
      <c r="X47" s="1"/>
      <c r="Y47" s="1"/>
      <c r="Z47" s="72">
        <f t="shared" si="4"/>
        <v>0</v>
      </c>
    </row>
    <row r="48" spans="1:26" ht="12.75">
      <c r="A48" s="1">
        <v>42</v>
      </c>
      <c r="B48" s="1"/>
      <c r="C48" s="1"/>
      <c r="D48" s="1"/>
      <c r="E48" s="1"/>
      <c r="F48" s="1"/>
      <c r="G48" s="1"/>
      <c r="H48" s="72">
        <f t="shared" si="2"/>
        <v>0</v>
      </c>
      <c r="J48" s="1">
        <v>42</v>
      </c>
      <c r="K48" s="1"/>
      <c r="L48" s="1"/>
      <c r="M48" s="1"/>
      <c r="N48" s="1"/>
      <c r="O48" s="1"/>
      <c r="P48" s="1"/>
      <c r="Q48" s="72">
        <f t="shared" si="3"/>
        <v>0</v>
      </c>
      <c r="S48" s="1">
        <v>42</v>
      </c>
      <c r="T48" s="1"/>
      <c r="U48" s="1"/>
      <c r="V48" s="1"/>
      <c r="W48" s="1"/>
      <c r="X48" s="1"/>
      <c r="Y48" s="1"/>
      <c r="Z48" s="72">
        <f t="shared" si="4"/>
        <v>0</v>
      </c>
    </row>
    <row r="49" spans="1:26" ht="12.75">
      <c r="A49" s="1">
        <v>43</v>
      </c>
      <c r="B49" s="1"/>
      <c r="C49" s="1"/>
      <c r="D49" s="1"/>
      <c r="E49" s="1"/>
      <c r="F49" s="1"/>
      <c r="G49" s="1"/>
      <c r="H49" s="72">
        <f t="shared" si="2"/>
        <v>0</v>
      </c>
      <c r="J49" s="1">
        <v>43</v>
      </c>
      <c r="K49" s="1"/>
      <c r="L49" s="1"/>
      <c r="M49" s="1"/>
      <c r="N49" s="1"/>
      <c r="O49" s="1"/>
      <c r="P49" s="1"/>
      <c r="Q49" s="72">
        <f t="shared" si="3"/>
        <v>0</v>
      </c>
      <c r="S49" s="1">
        <v>43</v>
      </c>
      <c r="T49" s="1"/>
      <c r="U49" s="1"/>
      <c r="V49" s="1"/>
      <c r="W49" s="1"/>
      <c r="X49" s="1"/>
      <c r="Y49" s="1"/>
      <c r="Z49" s="72">
        <f t="shared" si="4"/>
        <v>0</v>
      </c>
    </row>
    <row r="50" spans="1:26" ht="12.75">
      <c r="A50" s="1">
        <v>44</v>
      </c>
      <c r="B50" s="1"/>
      <c r="C50" s="1"/>
      <c r="D50" s="1"/>
      <c r="E50" s="1"/>
      <c r="F50" s="1"/>
      <c r="G50" s="1"/>
      <c r="H50" s="72">
        <f t="shared" si="2"/>
        <v>0</v>
      </c>
      <c r="J50" s="1">
        <v>44</v>
      </c>
      <c r="K50" s="1"/>
      <c r="L50" s="1"/>
      <c r="M50" s="1"/>
      <c r="N50" s="1"/>
      <c r="O50" s="1"/>
      <c r="P50" s="1"/>
      <c r="Q50" s="72">
        <f t="shared" si="3"/>
        <v>0</v>
      </c>
      <c r="S50" s="1">
        <v>44</v>
      </c>
      <c r="T50" s="1"/>
      <c r="U50" s="1"/>
      <c r="V50" s="1"/>
      <c r="W50" s="1"/>
      <c r="X50" s="1"/>
      <c r="Y50" s="1"/>
      <c r="Z50" s="72">
        <f t="shared" si="4"/>
        <v>0</v>
      </c>
    </row>
    <row r="51" spans="1:26" ht="12.75">
      <c r="A51" s="1">
        <v>45</v>
      </c>
      <c r="B51" s="1"/>
      <c r="C51" s="1"/>
      <c r="D51" s="1"/>
      <c r="E51" s="1"/>
      <c r="F51" s="1"/>
      <c r="G51" s="1"/>
      <c r="H51" s="72">
        <f t="shared" si="2"/>
        <v>0</v>
      </c>
      <c r="J51" s="1">
        <v>45</v>
      </c>
      <c r="K51" s="1"/>
      <c r="L51" s="1"/>
      <c r="M51" s="1"/>
      <c r="N51" s="1"/>
      <c r="O51" s="1"/>
      <c r="P51" s="1"/>
      <c r="Q51" s="72">
        <f t="shared" si="3"/>
        <v>0</v>
      </c>
      <c r="S51" s="1">
        <v>45</v>
      </c>
      <c r="T51" s="1"/>
      <c r="U51" s="1"/>
      <c r="V51" s="1"/>
      <c r="W51" s="1"/>
      <c r="X51" s="1"/>
      <c r="Y51" s="1"/>
      <c r="Z51" s="72">
        <f t="shared" si="4"/>
        <v>0</v>
      </c>
    </row>
    <row r="52" spans="1:26" ht="12.75">
      <c r="A52" s="1">
        <v>46</v>
      </c>
      <c r="B52" s="1"/>
      <c r="C52" s="1"/>
      <c r="D52" s="1"/>
      <c r="E52" s="1"/>
      <c r="F52" s="1"/>
      <c r="G52" s="1"/>
      <c r="H52" s="72">
        <f t="shared" si="2"/>
        <v>0</v>
      </c>
      <c r="J52" s="1">
        <v>46</v>
      </c>
      <c r="K52" s="1"/>
      <c r="L52" s="1"/>
      <c r="M52" s="1"/>
      <c r="N52" s="1"/>
      <c r="O52" s="1"/>
      <c r="P52" s="1"/>
      <c r="Q52" s="72">
        <f t="shared" si="3"/>
        <v>0</v>
      </c>
      <c r="S52" s="1">
        <v>46</v>
      </c>
      <c r="T52" s="1"/>
      <c r="U52" s="1"/>
      <c r="V52" s="1"/>
      <c r="W52" s="1"/>
      <c r="X52" s="1"/>
      <c r="Y52" s="1"/>
      <c r="Z52" s="72">
        <f t="shared" si="4"/>
        <v>0</v>
      </c>
    </row>
    <row r="53" spans="1:26" ht="12.75">
      <c r="A53" s="1">
        <v>47</v>
      </c>
      <c r="B53" s="1"/>
      <c r="C53" s="1"/>
      <c r="D53" s="1"/>
      <c r="E53" s="1"/>
      <c r="F53" s="1"/>
      <c r="G53" s="1"/>
      <c r="H53" s="72">
        <f t="shared" si="2"/>
        <v>0</v>
      </c>
      <c r="J53" s="1">
        <v>47</v>
      </c>
      <c r="K53" s="1"/>
      <c r="L53" s="1"/>
      <c r="M53" s="1"/>
      <c r="N53" s="1"/>
      <c r="O53" s="1"/>
      <c r="P53" s="1"/>
      <c r="Q53" s="72">
        <f t="shared" si="3"/>
        <v>0</v>
      </c>
      <c r="S53" s="1">
        <v>47</v>
      </c>
      <c r="T53" s="1"/>
      <c r="U53" s="1"/>
      <c r="V53" s="1"/>
      <c r="W53" s="1"/>
      <c r="X53" s="1"/>
      <c r="Y53" s="1"/>
      <c r="Z53" s="72">
        <f t="shared" si="4"/>
        <v>0</v>
      </c>
    </row>
    <row r="54" spans="1:26" ht="12.75">
      <c r="A54" s="1">
        <v>48</v>
      </c>
      <c r="B54" s="1"/>
      <c r="C54" s="1"/>
      <c r="D54" s="1"/>
      <c r="E54" s="1"/>
      <c r="F54" s="1"/>
      <c r="G54" s="1"/>
      <c r="H54" s="72">
        <f t="shared" si="2"/>
        <v>0</v>
      </c>
      <c r="J54" s="1">
        <v>48</v>
      </c>
      <c r="K54" s="1"/>
      <c r="L54" s="1"/>
      <c r="M54" s="1"/>
      <c r="N54" s="1"/>
      <c r="O54" s="1"/>
      <c r="P54" s="1"/>
      <c r="Q54" s="72">
        <f t="shared" si="3"/>
        <v>0</v>
      </c>
      <c r="S54" s="1">
        <v>48</v>
      </c>
      <c r="T54" s="1"/>
      <c r="U54" s="1"/>
      <c r="V54" s="1"/>
      <c r="W54" s="1"/>
      <c r="X54" s="1"/>
      <c r="Y54" s="1"/>
      <c r="Z54" s="72">
        <f t="shared" si="4"/>
        <v>0</v>
      </c>
    </row>
    <row r="55" spans="1:26" ht="12.75">
      <c r="A55" s="1">
        <v>49</v>
      </c>
      <c r="B55" s="1"/>
      <c r="C55" s="1"/>
      <c r="D55" s="1"/>
      <c r="E55" s="1"/>
      <c r="F55" s="1"/>
      <c r="G55" s="1"/>
      <c r="H55" s="72">
        <f t="shared" si="2"/>
        <v>0</v>
      </c>
      <c r="J55" s="1">
        <v>49</v>
      </c>
      <c r="K55" s="1"/>
      <c r="L55" s="1"/>
      <c r="M55" s="1"/>
      <c r="N55" s="1"/>
      <c r="O55" s="1"/>
      <c r="P55" s="1"/>
      <c r="Q55" s="72">
        <f t="shared" si="3"/>
        <v>0</v>
      </c>
      <c r="S55" s="1">
        <v>49</v>
      </c>
      <c r="T55" s="1"/>
      <c r="U55" s="1"/>
      <c r="V55" s="1"/>
      <c r="W55" s="1"/>
      <c r="X55" s="1"/>
      <c r="Y55" s="1"/>
      <c r="Z55" s="72">
        <f t="shared" si="4"/>
        <v>0</v>
      </c>
    </row>
    <row r="56" spans="1:26" ht="12.75">
      <c r="A56" s="1">
        <v>50</v>
      </c>
      <c r="B56" s="1"/>
      <c r="C56" s="1"/>
      <c r="D56" s="1"/>
      <c r="E56" s="1"/>
      <c r="F56" s="1"/>
      <c r="G56" s="1"/>
      <c r="H56" s="72">
        <f t="shared" si="2"/>
        <v>0</v>
      </c>
      <c r="J56" s="1">
        <v>50</v>
      </c>
      <c r="K56" s="1"/>
      <c r="L56" s="1"/>
      <c r="M56" s="1"/>
      <c r="N56" s="1"/>
      <c r="O56" s="1"/>
      <c r="P56" s="1"/>
      <c r="Q56" s="72">
        <f t="shared" si="3"/>
        <v>0</v>
      </c>
      <c r="S56" s="1">
        <v>50</v>
      </c>
      <c r="T56" s="1"/>
      <c r="U56" s="1"/>
      <c r="V56" s="1"/>
      <c r="W56" s="1"/>
      <c r="X56" s="1"/>
      <c r="Y56" s="1"/>
      <c r="Z56" s="72">
        <f t="shared" si="4"/>
        <v>0</v>
      </c>
    </row>
    <row r="58" spans="7:26" ht="12.75">
      <c r="G58" s="68" t="s">
        <v>766</v>
      </c>
      <c r="H58" s="71">
        <f>SUM(H17:H56)</f>
        <v>0</v>
      </c>
      <c r="P58" s="68" t="s">
        <v>766</v>
      </c>
      <c r="Q58" s="71">
        <f>SUM(Q17:Q56)</f>
        <v>0</v>
      </c>
      <c r="Y58" s="68" t="s">
        <v>766</v>
      </c>
      <c r="Z58" s="71">
        <f>SUM(Z17:Z56)</f>
        <v>0</v>
      </c>
    </row>
  </sheetData>
  <sheetProtection/>
  <mergeCells count="6">
    <mergeCell ref="A1:H1"/>
    <mergeCell ref="A15:H15"/>
    <mergeCell ref="J1:Q1"/>
    <mergeCell ref="J15:Q15"/>
    <mergeCell ref="S1:Z1"/>
    <mergeCell ref="S15:Z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7"/>
  <sheetViews>
    <sheetView rightToLeft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6" sqref="B6"/>
    </sheetView>
  </sheetViews>
  <sheetFormatPr defaultColWidth="9.140625" defaultRowHeight="12.75"/>
  <cols>
    <col min="1" max="1" width="6.57421875" style="0" customWidth="1"/>
    <col min="2" max="2" width="13.57421875" style="3" customWidth="1"/>
    <col min="3" max="3" width="36.8515625" style="3" customWidth="1"/>
    <col min="4" max="4" width="13.140625" style="3" customWidth="1"/>
    <col min="5" max="5" width="14.421875" style="0" customWidth="1"/>
    <col min="6" max="6" width="13.8515625" style="0" bestFit="1" customWidth="1"/>
    <col min="8" max="8" width="15.57421875" style="0" bestFit="1" customWidth="1"/>
    <col min="9" max="9" width="12.7109375" style="0" customWidth="1"/>
    <col min="10" max="10" width="10.57421875" style="0" customWidth="1"/>
    <col min="11" max="11" width="13.8515625" style="0" customWidth="1"/>
    <col min="12" max="12" width="17.00390625" style="0" customWidth="1"/>
    <col min="13" max="13" width="10.28125" style="0" customWidth="1"/>
    <col min="14" max="14" width="9.57421875" style="0" bestFit="1" customWidth="1"/>
  </cols>
  <sheetData>
    <row r="1" spans="2:11" ht="12.75">
      <c r="B1" s="3">
        <v>1</v>
      </c>
      <c r="C1" s="3">
        <v>3</v>
      </c>
      <c r="D1" s="3">
        <v>6</v>
      </c>
      <c r="E1" s="3">
        <v>38</v>
      </c>
      <c r="F1" s="3">
        <v>39</v>
      </c>
      <c r="G1" s="3">
        <v>40</v>
      </c>
      <c r="K1" s="6"/>
    </row>
    <row r="2" spans="5:10" ht="12.75">
      <c r="E2" s="6"/>
      <c r="F2" s="6"/>
      <c r="I2" s="7">
        <v>0.7</v>
      </c>
      <c r="J2" s="7">
        <v>0.8</v>
      </c>
    </row>
    <row r="3" spans="2:13" ht="12.75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</row>
    <row r="4" spans="1:13" ht="63.75">
      <c r="A4" s="67" t="s">
        <v>773</v>
      </c>
      <c r="B4" s="8" t="s">
        <v>25</v>
      </c>
      <c r="C4" s="9" t="s">
        <v>47</v>
      </c>
      <c r="D4" s="9" t="s">
        <v>48</v>
      </c>
      <c r="E4" s="149" t="s">
        <v>49</v>
      </c>
      <c r="F4" s="11" t="s">
        <v>1119</v>
      </c>
      <c r="G4" s="10" t="s">
        <v>50</v>
      </c>
      <c r="H4" s="11" t="s">
        <v>51</v>
      </c>
      <c r="I4" s="10" t="s">
        <v>52</v>
      </c>
      <c r="J4" s="10" t="s">
        <v>53</v>
      </c>
      <c r="K4" s="10" t="s">
        <v>54</v>
      </c>
      <c r="L4" s="67" t="s">
        <v>808</v>
      </c>
      <c r="M4" s="105" t="s">
        <v>806</v>
      </c>
    </row>
    <row r="5" spans="1:14" s="97" customFormat="1" ht="15.75">
      <c r="A5" s="3">
        <v>2</v>
      </c>
      <c r="B5" s="101">
        <v>510681968</v>
      </c>
      <c r="C5" s="101" t="s">
        <v>913</v>
      </c>
      <c r="D5" s="13"/>
      <c r="E5" s="116"/>
      <c r="F5" s="116"/>
      <c r="G5" s="117"/>
      <c r="H5" s="118">
        <v>67575</v>
      </c>
      <c r="I5" s="15"/>
      <c r="J5" s="15"/>
      <c r="K5" s="110"/>
      <c r="L5" s="79"/>
      <c r="M5" s="86"/>
      <c r="N5" s="136"/>
    </row>
    <row r="6" spans="1:14" ht="15">
      <c r="A6" s="97">
        <v>2</v>
      </c>
      <c r="B6" s="101">
        <v>511602591</v>
      </c>
      <c r="C6" s="102" t="s">
        <v>249</v>
      </c>
      <c r="D6" s="102" t="s">
        <v>68</v>
      </c>
      <c r="E6" s="50">
        <v>104120.5</v>
      </c>
      <c r="F6" s="50">
        <v>72250</v>
      </c>
      <c r="G6" s="133">
        <f aca="true" t="shared" si="0" ref="G6:G33">F6/E6</f>
        <v>0.693907539821649</v>
      </c>
      <c r="H6" s="134">
        <v>90312</v>
      </c>
      <c r="I6" s="75">
        <f aca="true" t="shared" si="1" ref="I6:I33">E6*$I$2</f>
        <v>72884.34999999999</v>
      </c>
      <c r="J6" s="75">
        <f aca="true" t="shared" si="2" ref="J6:J33">H6*$J$2</f>
        <v>72249.6</v>
      </c>
      <c r="K6" s="91">
        <f aca="true" t="shared" si="3" ref="K6:K33">ROUND(IF(IF(MIN(I6,J6)&lt;F6,MIN(I6,J6)-F6,MIN(I6,J6))&lt;0,0,IF(MIN(I6,J6)&lt;F6,MIN(I6,J6)-F6,MIN(I6,J6))),0)</f>
        <v>0</v>
      </c>
      <c r="L6" s="50">
        <v>72249.6</v>
      </c>
      <c r="M6" s="135">
        <f>ROUND(VLOOKUP(B6,גיליון1!A3:B973,2,0),0)</f>
        <v>90311</v>
      </c>
      <c r="N6" s="108"/>
    </row>
    <row r="7" spans="1:14" ht="15.75">
      <c r="A7">
        <v>3</v>
      </c>
      <c r="B7" s="12">
        <v>511757486</v>
      </c>
      <c r="C7" s="13" t="s">
        <v>673</v>
      </c>
      <c r="D7" s="13" t="s">
        <v>56</v>
      </c>
      <c r="E7" s="6">
        <v>331895.75</v>
      </c>
      <c r="F7" s="6">
        <v>232327</v>
      </c>
      <c r="G7" s="7">
        <f t="shared" si="0"/>
        <v>0.6999999246751427</v>
      </c>
      <c r="H7" s="14">
        <v>428224</v>
      </c>
      <c r="I7" s="15">
        <f t="shared" si="1"/>
        <v>232327.025</v>
      </c>
      <c r="J7" s="15">
        <f t="shared" si="2"/>
        <v>342579.2</v>
      </c>
      <c r="K7" s="85">
        <f t="shared" si="3"/>
        <v>232327</v>
      </c>
      <c r="L7" s="79">
        <v>232327.025</v>
      </c>
      <c r="M7" s="86">
        <f>ROUND(VLOOKUP(B7,גיליון1!A4:B974,2,0),0)</f>
        <v>428219</v>
      </c>
      <c r="N7" s="108"/>
    </row>
    <row r="8" spans="1:14" ht="15.75">
      <c r="A8" s="3">
        <v>4</v>
      </c>
      <c r="B8" s="12">
        <v>512120841</v>
      </c>
      <c r="C8" s="13" t="s">
        <v>55</v>
      </c>
      <c r="D8" s="13" t="s">
        <v>56</v>
      </c>
      <c r="E8" s="6">
        <v>138093</v>
      </c>
      <c r="F8" s="6">
        <v>69047</v>
      </c>
      <c r="G8" s="7">
        <f t="shared" si="0"/>
        <v>0.5000036207483363</v>
      </c>
      <c r="H8" s="14">
        <v>144765</v>
      </c>
      <c r="I8" s="15">
        <f t="shared" si="1"/>
        <v>96665.09999999999</v>
      </c>
      <c r="J8" s="15">
        <f t="shared" si="2"/>
        <v>115812</v>
      </c>
      <c r="K8" s="85">
        <f t="shared" si="3"/>
        <v>96665</v>
      </c>
      <c r="L8" s="79">
        <v>69046.5</v>
      </c>
      <c r="M8" s="86">
        <f>ROUND(VLOOKUP(B8,גיליון1!A5:B975,2,0),0)</f>
        <v>144765</v>
      </c>
      <c r="N8" s="108"/>
    </row>
    <row r="9" spans="1:14" ht="15.75">
      <c r="A9">
        <v>5</v>
      </c>
      <c r="B9" s="12">
        <v>512158668</v>
      </c>
      <c r="C9" s="13" t="s">
        <v>250</v>
      </c>
      <c r="D9" s="13" t="s">
        <v>56</v>
      </c>
      <c r="E9" s="6">
        <v>189487</v>
      </c>
      <c r="F9" s="6">
        <v>132641</v>
      </c>
      <c r="G9" s="7">
        <f t="shared" si="0"/>
        <v>0.7000005277406893</v>
      </c>
      <c r="H9" s="14">
        <v>316190</v>
      </c>
      <c r="I9" s="15">
        <f t="shared" si="1"/>
        <v>132640.9</v>
      </c>
      <c r="J9" s="15">
        <f t="shared" si="2"/>
        <v>252952</v>
      </c>
      <c r="K9" s="85">
        <f t="shared" si="3"/>
        <v>0</v>
      </c>
      <c r="L9" s="79">
        <v>132640.9</v>
      </c>
      <c r="M9" s="86">
        <f>ROUND(VLOOKUP(B9,גיליון1!A6:B976,2,0),0)</f>
        <v>316184</v>
      </c>
      <c r="N9" s="108"/>
    </row>
    <row r="10" spans="1:14" ht="15.75">
      <c r="A10" s="3">
        <v>6</v>
      </c>
      <c r="B10" s="12">
        <v>512339656</v>
      </c>
      <c r="C10" s="13" t="s">
        <v>57</v>
      </c>
      <c r="D10" s="13" t="s">
        <v>56</v>
      </c>
      <c r="E10" s="6">
        <f>684659.25+75922</f>
        <v>760581.25</v>
      </c>
      <c r="F10" s="6">
        <v>342330</v>
      </c>
      <c r="G10" s="7">
        <f t="shared" si="0"/>
        <v>0.4500899805247631</v>
      </c>
      <c r="H10" s="14">
        <f>222258+28684</f>
        <v>250942</v>
      </c>
      <c r="I10" s="15">
        <f t="shared" si="1"/>
        <v>532406.875</v>
      </c>
      <c r="J10" s="15">
        <f t="shared" si="2"/>
        <v>200753.6</v>
      </c>
      <c r="K10" s="85">
        <f t="shared" si="3"/>
        <v>0</v>
      </c>
      <c r="L10" s="79">
        <v>342329.625</v>
      </c>
      <c r="M10" s="86">
        <f>ROUND(VLOOKUP(B10,גיליון1!A7:B977,2,0),0)</f>
        <v>222205</v>
      </c>
      <c r="N10" s="108"/>
    </row>
    <row r="11" spans="1:14" ht="15.75">
      <c r="A11">
        <v>7</v>
      </c>
      <c r="B11" s="12">
        <v>512371717</v>
      </c>
      <c r="C11" s="13" t="s">
        <v>315</v>
      </c>
      <c r="D11" s="17" t="s">
        <v>59</v>
      </c>
      <c r="E11" s="6">
        <v>202250</v>
      </c>
      <c r="F11" s="6">
        <v>101125</v>
      </c>
      <c r="G11" s="7">
        <f t="shared" si="0"/>
        <v>0.5</v>
      </c>
      <c r="H11" s="14">
        <v>154510</v>
      </c>
      <c r="I11" s="15">
        <f t="shared" si="1"/>
        <v>141575</v>
      </c>
      <c r="J11" s="15">
        <f t="shared" si="2"/>
        <v>123608</v>
      </c>
      <c r="K11" s="85">
        <f t="shared" si="3"/>
        <v>123608</v>
      </c>
      <c r="L11" s="79">
        <v>101125</v>
      </c>
      <c r="M11" s="86">
        <f>ROUND(VLOOKUP(B11,גיליון1!A8:B978,2,0),0)</f>
        <v>154508</v>
      </c>
      <c r="N11" s="108"/>
    </row>
    <row r="12" spans="1:14" ht="15.75">
      <c r="A12" s="3">
        <v>8</v>
      </c>
      <c r="B12" s="60">
        <v>512390618</v>
      </c>
      <c r="C12" s="13" t="s">
        <v>746</v>
      </c>
      <c r="D12" s="13" t="s">
        <v>68</v>
      </c>
      <c r="E12" s="6">
        <v>95435</v>
      </c>
      <c r="F12" s="6">
        <v>47718</v>
      </c>
      <c r="G12" s="7">
        <f t="shared" si="0"/>
        <v>0.5000052391680201</v>
      </c>
      <c r="H12" s="14">
        <v>77922</v>
      </c>
      <c r="I12" s="15">
        <f t="shared" si="1"/>
        <v>66804.5</v>
      </c>
      <c r="J12" s="15">
        <f t="shared" si="2"/>
        <v>62337.600000000006</v>
      </c>
      <c r="K12" s="85">
        <f t="shared" si="3"/>
        <v>62338</v>
      </c>
      <c r="L12" s="79">
        <v>47717.5</v>
      </c>
      <c r="M12" s="86">
        <f>ROUND(VLOOKUP(B12,גיליון1!A9:B979,2,0),0)</f>
        <v>77922</v>
      </c>
      <c r="N12" s="108"/>
    </row>
    <row r="13" spans="1:14" ht="15.75">
      <c r="A13">
        <v>9</v>
      </c>
      <c r="B13" s="60">
        <v>512390626</v>
      </c>
      <c r="C13" s="13" t="s">
        <v>747</v>
      </c>
      <c r="D13" s="13" t="s">
        <v>68</v>
      </c>
      <c r="E13" s="6">
        <v>39095</v>
      </c>
      <c r="F13" s="6">
        <v>19548</v>
      </c>
      <c r="G13" s="7">
        <f t="shared" si="0"/>
        <v>0.5000127893592531</v>
      </c>
      <c r="H13" s="14">
        <v>35050</v>
      </c>
      <c r="I13" s="15">
        <f t="shared" si="1"/>
        <v>27366.5</v>
      </c>
      <c r="J13" s="15">
        <f t="shared" si="2"/>
        <v>28040</v>
      </c>
      <c r="K13" s="85">
        <f t="shared" si="3"/>
        <v>27367</v>
      </c>
      <c r="L13" s="79">
        <v>19547.5</v>
      </c>
      <c r="M13" s="86">
        <f>ROUND(VLOOKUP(B13,גיליון1!A10:B980,2,0),0)</f>
        <v>35050</v>
      </c>
      <c r="N13" s="108"/>
    </row>
    <row r="14" spans="1:14" ht="15.75">
      <c r="A14" s="3">
        <v>10</v>
      </c>
      <c r="B14" s="12">
        <v>512390675</v>
      </c>
      <c r="C14" s="12" t="s">
        <v>612</v>
      </c>
      <c r="D14" s="13" t="s">
        <v>68</v>
      </c>
      <c r="E14" s="6">
        <v>17415</v>
      </c>
      <c r="F14" s="6">
        <v>8708</v>
      </c>
      <c r="G14" s="7">
        <f t="shared" si="0"/>
        <v>0.5000287108814241</v>
      </c>
      <c r="H14" s="14">
        <v>6468</v>
      </c>
      <c r="I14" s="15">
        <f t="shared" si="1"/>
        <v>12190.5</v>
      </c>
      <c r="J14" s="15">
        <f t="shared" si="2"/>
        <v>5174.400000000001</v>
      </c>
      <c r="K14" s="85">
        <f t="shared" si="3"/>
        <v>0</v>
      </c>
      <c r="L14" s="79">
        <v>8707.5</v>
      </c>
      <c r="M14" s="86">
        <f>ROUND(VLOOKUP(B14,גיליון1!A11:B981,2,0),0)</f>
        <v>6468</v>
      </c>
      <c r="N14" s="108"/>
    </row>
    <row r="15" spans="1:14" ht="15.75">
      <c r="A15">
        <v>11</v>
      </c>
      <c r="B15" s="12">
        <v>512390683</v>
      </c>
      <c r="C15" s="4" t="s">
        <v>488</v>
      </c>
      <c r="D15" s="4" t="s">
        <v>68</v>
      </c>
      <c r="E15" s="6">
        <v>278305.6</v>
      </c>
      <c r="F15" s="6">
        <v>194814</v>
      </c>
      <c r="G15" s="7">
        <f t="shared" si="0"/>
        <v>0.7000002874537918</v>
      </c>
      <c r="H15" s="14">
        <v>342098</v>
      </c>
      <c r="I15" s="15">
        <f t="shared" si="1"/>
        <v>194813.91999999998</v>
      </c>
      <c r="J15" s="15">
        <f t="shared" si="2"/>
        <v>273678.4</v>
      </c>
      <c r="K15" s="85">
        <f t="shared" si="3"/>
        <v>0</v>
      </c>
      <c r="L15" s="79">
        <v>194813.91999999998</v>
      </c>
      <c r="M15" s="86">
        <f>ROUND(VLOOKUP(B15,גיליון1!A12:B982,2,0),0)</f>
        <v>342098</v>
      </c>
      <c r="N15" s="108"/>
    </row>
    <row r="16" spans="1:14" ht="15.75">
      <c r="A16" s="3">
        <v>12</v>
      </c>
      <c r="B16" s="53">
        <v>512390691</v>
      </c>
      <c r="C16" s="54" t="s">
        <v>652</v>
      </c>
      <c r="D16" s="54" t="s">
        <v>68</v>
      </c>
      <c r="E16" s="6">
        <v>10357</v>
      </c>
      <c r="F16" s="6">
        <v>5179</v>
      </c>
      <c r="G16" s="7">
        <f t="shared" si="0"/>
        <v>0.5000482765279521</v>
      </c>
      <c r="H16" s="14">
        <v>13297</v>
      </c>
      <c r="I16" s="15">
        <f t="shared" si="1"/>
        <v>7249.9</v>
      </c>
      <c r="J16" s="15">
        <f t="shared" si="2"/>
        <v>10637.6</v>
      </c>
      <c r="K16" s="85">
        <f t="shared" si="3"/>
        <v>7250</v>
      </c>
      <c r="L16" s="79">
        <v>5178.5</v>
      </c>
      <c r="M16" s="86">
        <f>ROUND(VLOOKUP(B16,גיליון1!A13:B983,2,0),0)</f>
        <v>13297</v>
      </c>
      <c r="N16" s="108"/>
    </row>
    <row r="17" spans="1:14" ht="15.75">
      <c r="A17">
        <v>13</v>
      </c>
      <c r="B17" s="12">
        <v>512505678</v>
      </c>
      <c r="C17" s="13" t="s">
        <v>489</v>
      </c>
      <c r="D17" s="4" t="s">
        <v>90</v>
      </c>
      <c r="E17" s="6">
        <v>201376</v>
      </c>
      <c r="F17" s="6">
        <v>100688</v>
      </c>
      <c r="G17" s="7">
        <f t="shared" si="0"/>
        <v>0.5</v>
      </c>
      <c r="H17" s="14">
        <v>225541</v>
      </c>
      <c r="I17" s="15">
        <f t="shared" si="1"/>
        <v>140963.19999999998</v>
      </c>
      <c r="J17" s="15">
        <f t="shared" si="2"/>
        <v>180432.80000000002</v>
      </c>
      <c r="K17" s="85">
        <f t="shared" si="3"/>
        <v>140963</v>
      </c>
      <c r="L17" s="79">
        <v>42352.125</v>
      </c>
      <c r="M17" s="86">
        <f>ROUND(VLOOKUP(B17,גיליון1!A14:B984,2,0),0)</f>
        <v>225544</v>
      </c>
      <c r="N17" s="108"/>
    </row>
    <row r="18" spans="1:14" ht="15.75">
      <c r="A18" s="3">
        <v>14</v>
      </c>
      <c r="B18" s="12">
        <v>512599895</v>
      </c>
      <c r="C18" s="13" t="s">
        <v>58</v>
      </c>
      <c r="D18" s="17" t="s">
        <v>59</v>
      </c>
      <c r="E18" s="6">
        <v>167937</v>
      </c>
      <c r="F18" s="6">
        <v>117556</v>
      </c>
      <c r="G18" s="7">
        <f t="shared" si="0"/>
        <v>0.7000005954613933</v>
      </c>
      <c r="H18" s="14">
        <v>199013</v>
      </c>
      <c r="I18" s="15">
        <f t="shared" si="1"/>
        <v>117555.9</v>
      </c>
      <c r="J18" s="15">
        <f t="shared" si="2"/>
        <v>159210.40000000002</v>
      </c>
      <c r="K18" s="85">
        <f t="shared" si="3"/>
        <v>0</v>
      </c>
      <c r="L18" s="79">
        <v>117555.9</v>
      </c>
      <c r="M18" s="86">
        <f>ROUND(VLOOKUP(B18,גיליון1!A15:B985,2,0),0)</f>
        <v>199009</v>
      </c>
      <c r="N18" s="108"/>
    </row>
    <row r="19" spans="1:14" ht="15.75">
      <c r="A19">
        <v>15</v>
      </c>
      <c r="B19" s="12">
        <v>512805367</v>
      </c>
      <c r="C19" s="13" t="s">
        <v>60</v>
      </c>
      <c r="D19" s="13" t="s">
        <v>56</v>
      </c>
      <c r="E19" s="6">
        <v>193715.75</v>
      </c>
      <c r="F19" s="6">
        <v>135601</v>
      </c>
      <c r="G19" s="7">
        <f t="shared" si="0"/>
        <v>0.6999998709449283</v>
      </c>
      <c r="H19" s="14">
        <v>229563</v>
      </c>
      <c r="I19" s="15">
        <f t="shared" si="1"/>
        <v>135601.025</v>
      </c>
      <c r="J19" s="15">
        <f t="shared" si="2"/>
        <v>183650.40000000002</v>
      </c>
      <c r="K19" s="85">
        <f t="shared" si="3"/>
        <v>135601</v>
      </c>
      <c r="L19" s="79">
        <v>135601.025</v>
      </c>
      <c r="M19" s="86">
        <f>ROUND(VLOOKUP(B19,גיליון1!A16:B986,2,0),0)</f>
        <v>229559</v>
      </c>
      <c r="N19" s="108"/>
    </row>
    <row r="20" spans="1:14" ht="15.75">
      <c r="A20" s="3">
        <v>16</v>
      </c>
      <c r="B20" s="57">
        <v>513134411</v>
      </c>
      <c r="C20" s="58" t="s">
        <v>671</v>
      </c>
      <c r="D20" s="58" t="s">
        <v>56</v>
      </c>
      <c r="E20" s="6">
        <v>323352.25</v>
      </c>
      <c r="F20" s="6">
        <v>226347</v>
      </c>
      <c r="G20" s="7">
        <f t="shared" si="0"/>
        <v>0.700001314356093</v>
      </c>
      <c r="H20" s="14">
        <v>383177</v>
      </c>
      <c r="I20" s="15">
        <f t="shared" si="1"/>
        <v>226346.57499999998</v>
      </c>
      <c r="J20" s="15">
        <f t="shared" si="2"/>
        <v>306541.60000000003</v>
      </c>
      <c r="K20" s="85">
        <f t="shared" si="3"/>
        <v>0</v>
      </c>
      <c r="L20" s="79">
        <v>226346.57499999998</v>
      </c>
      <c r="M20" s="86">
        <f>ROUND(VLOOKUP(B20,גיליון1!A17:B987,2,0),0)</f>
        <v>383180</v>
      </c>
      <c r="N20" s="108"/>
    </row>
    <row r="21" spans="1:14" ht="15">
      <c r="A21">
        <v>17</v>
      </c>
      <c r="B21" s="4">
        <v>513151456</v>
      </c>
      <c r="C21" s="4" t="s">
        <v>423</v>
      </c>
      <c r="D21" s="4" t="s">
        <v>90</v>
      </c>
      <c r="E21" s="6">
        <v>318932</v>
      </c>
      <c r="F21" s="6">
        <v>223252</v>
      </c>
      <c r="G21" s="7">
        <f t="shared" si="0"/>
        <v>0.6999987458141548</v>
      </c>
      <c r="H21" s="14">
        <v>376717</v>
      </c>
      <c r="I21" s="15">
        <f t="shared" si="1"/>
        <v>223252.4</v>
      </c>
      <c r="J21" s="15">
        <f t="shared" si="2"/>
        <v>301373.60000000003</v>
      </c>
      <c r="K21" s="85">
        <f t="shared" si="3"/>
        <v>223252</v>
      </c>
      <c r="L21" s="79">
        <v>223252.4</v>
      </c>
      <c r="M21" s="86">
        <f>ROUND(VLOOKUP(B21,גיליון1!A18:B988,2,0),0)</f>
        <v>376721</v>
      </c>
      <c r="N21" s="108"/>
    </row>
    <row r="22" spans="1:14" ht="15.75">
      <c r="A22" s="3">
        <v>18</v>
      </c>
      <c r="B22" s="12">
        <v>513275222</v>
      </c>
      <c r="C22" s="13" t="s">
        <v>61</v>
      </c>
      <c r="D22" s="17" t="s">
        <v>59</v>
      </c>
      <c r="E22" s="6">
        <v>106225.25</v>
      </c>
      <c r="F22" s="6">
        <v>53113</v>
      </c>
      <c r="G22" s="7">
        <f t="shared" si="0"/>
        <v>0.5000035302341016</v>
      </c>
      <c r="H22" s="14">
        <v>55679</v>
      </c>
      <c r="I22" s="15">
        <f t="shared" si="1"/>
        <v>74357.67499999999</v>
      </c>
      <c r="J22" s="15">
        <f t="shared" si="2"/>
        <v>44543.200000000004</v>
      </c>
      <c r="K22" s="85">
        <f t="shared" si="3"/>
        <v>0</v>
      </c>
      <c r="L22" s="79">
        <v>53112.625</v>
      </c>
      <c r="M22" s="86">
        <f>ROUND(VLOOKUP(B22,גיליון1!A19:B989,2,0),0)</f>
        <v>55679</v>
      </c>
      <c r="N22" s="108"/>
    </row>
    <row r="23" spans="1:14" ht="15.75">
      <c r="A23">
        <v>19</v>
      </c>
      <c r="B23" s="12">
        <v>513444562</v>
      </c>
      <c r="C23" s="77" t="s">
        <v>714</v>
      </c>
      <c r="D23" s="4" t="s">
        <v>59</v>
      </c>
      <c r="E23" s="6">
        <v>138093</v>
      </c>
      <c r="F23" s="6">
        <v>69047</v>
      </c>
      <c r="G23" s="7">
        <f t="shared" si="0"/>
        <v>0.5000036207483363</v>
      </c>
      <c r="H23" s="14">
        <v>144765</v>
      </c>
      <c r="I23" s="15">
        <f t="shared" si="1"/>
        <v>96665.09999999999</v>
      </c>
      <c r="J23" s="15">
        <f t="shared" si="2"/>
        <v>115812</v>
      </c>
      <c r="K23" s="85">
        <f t="shared" si="3"/>
        <v>96665</v>
      </c>
      <c r="L23" s="79">
        <v>69046.5</v>
      </c>
      <c r="M23" s="86">
        <f>ROUND(VLOOKUP(B23,גיליון1!A20:B990,2,0),0)</f>
        <v>144765</v>
      </c>
      <c r="N23" s="108"/>
    </row>
    <row r="24" spans="1:14" ht="15.75">
      <c r="A24" s="3">
        <v>20</v>
      </c>
      <c r="B24" s="57">
        <v>513590042</v>
      </c>
      <c r="C24" s="58" t="s">
        <v>672</v>
      </c>
      <c r="D24" s="59" t="s">
        <v>59</v>
      </c>
      <c r="E24" s="6">
        <v>276516.4</v>
      </c>
      <c r="F24" s="6">
        <v>138258</v>
      </c>
      <c r="G24" s="7">
        <f t="shared" si="0"/>
        <v>0.4999992767155944</v>
      </c>
      <c r="H24" s="14">
        <v>327670</v>
      </c>
      <c r="I24" s="15">
        <f t="shared" si="1"/>
        <v>193561.48</v>
      </c>
      <c r="J24" s="15">
        <f t="shared" si="2"/>
        <v>262136</v>
      </c>
      <c r="K24" s="85">
        <f t="shared" si="3"/>
        <v>193561</v>
      </c>
      <c r="L24" s="79">
        <v>138258.2</v>
      </c>
      <c r="M24" s="86">
        <f>ROUND(VLOOKUP(B24,גיליון1!A21:B991,2,0),0)</f>
        <v>327667</v>
      </c>
      <c r="N24" s="108"/>
    </row>
    <row r="25" spans="1:14" ht="15.75">
      <c r="A25">
        <v>21</v>
      </c>
      <c r="B25" s="37">
        <v>513692830</v>
      </c>
      <c r="C25" s="13" t="s">
        <v>316</v>
      </c>
      <c r="D25" s="17" t="s">
        <v>59</v>
      </c>
      <c r="E25" s="6">
        <v>132227.25</v>
      </c>
      <c r="F25" s="6">
        <v>92559</v>
      </c>
      <c r="G25" s="7">
        <f t="shared" si="0"/>
        <v>0.6999994327946774</v>
      </c>
      <c r="H25" s="14">
        <v>163924</v>
      </c>
      <c r="I25" s="15">
        <f t="shared" si="1"/>
        <v>92559.075</v>
      </c>
      <c r="J25" s="15">
        <f t="shared" si="2"/>
        <v>131139.2</v>
      </c>
      <c r="K25" s="85">
        <f t="shared" si="3"/>
        <v>92559</v>
      </c>
      <c r="L25" s="79">
        <v>92559.075</v>
      </c>
      <c r="M25" s="86">
        <f>ROUND(VLOOKUP(B25,גיליון1!A22:B992,2,0),0)</f>
        <v>163919</v>
      </c>
      <c r="N25" s="108"/>
    </row>
    <row r="26" spans="1:14" ht="15.75">
      <c r="A26" s="3">
        <v>22</v>
      </c>
      <c r="B26" s="12">
        <v>513739888</v>
      </c>
      <c r="C26" s="13" t="s">
        <v>490</v>
      </c>
      <c r="D26" s="17" t="s">
        <v>59</v>
      </c>
      <c r="E26" s="6">
        <v>134375</v>
      </c>
      <c r="F26" s="6">
        <v>94063</v>
      </c>
      <c r="G26" s="7">
        <f t="shared" si="0"/>
        <v>0.7000037209302326</v>
      </c>
      <c r="H26" s="14">
        <v>128062</v>
      </c>
      <c r="I26" s="15">
        <f t="shared" si="1"/>
        <v>94062.5</v>
      </c>
      <c r="J26" s="15">
        <f t="shared" si="2"/>
        <v>102449.6</v>
      </c>
      <c r="K26" s="85">
        <f t="shared" si="3"/>
        <v>0</v>
      </c>
      <c r="L26" s="79">
        <v>94062.5</v>
      </c>
      <c r="M26" s="86">
        <f>ROUND(VLOOKUP(B26,גיליון1!A23:B993,2,0),0)</f>
        <v>128062</v>
      </c>
      <c r="N26" s="108"/>
    </row>
    <row r="27" spans="1:14" ht="15.75">
      <c r="A27">
        <v>23</v>
      </c>
      <c r="B27" s="12">
        <v>513997569</v>
      </c>
      <c r="C27" s="13" t="s">
        <v>317</v>
      </c>
      <c r="D27" s="17" t="s">
        <v>59</v>
      </c>
      <c r="E27" s="6">
        <v>398776.5</v>
      </c>
      <c r="F27" s="6">
        <v>199388</v>
      </c>
      <c r="G27" s="7">
        <f t="shared" si="0"/>
        <v>0.4999993730824158</v>
      </c>
      <c r="H27" s="14">
        <v>448465</v>
      </c>
      <c r="I27" s="15">
        <f t="shared" si="1"/>
        <v>279143.55</v>
      </c>
      <c r="J27" s="15">
        <f t="shared" si="2"/>
        <v>358772</v>
      </c>
      <c r="K27" s="85">
        <f t="shared" si="3"/>
        <v>279144</v>
      </c>
      <c r="L27" s="79">
        <v>199388.25</v>
      </c>
      <c r="M27" s="86">
        <f>ROUND(VLOOKUP(B27,גיליון1!A24:B994,2,0),0)</f>
        <v>448469</v>
      </c>
      <c r="N27" s="108"/>
    </row>
    <row r="28" spans="1:14" ht="15.75">
      <c r="A28" s="3">
        <v>24</v>
      </c>
      <c r="B28" s="53">
        <v>514010149</v>
      </c>
      <c r="C28" s="55" t="s">
        <v>653</v>
      </c>
      <c r="D28" s="55" t="s">
        <v>56</v>
      </c>
      <c r="E28" s="6">
        <v>53135</v>
      </c>
      <c r="F28" s="6">
        <v>24640</v>
      </c>
      <c r="G28" s="7">
        <f t="shared" si="0"/>
        <v>0.4637244753928672</v>
      </c>
      <c r="H28" s="14">
        <v>128062</v>
      </c>
      <c r="I28" s="15">
        <f t="shared" si="1"/>
        <v>37194.5</v>
      </c>
      <c r="J28" s="15">
        <f t="shared" si="2"/>
        <v>102449.6</v>
      </c>
      <c r="K28" s="85">
        <f t="shared" si="3"/>
        <v>37195</v>
      </c>
      <c r="L28" s="79">
        <v>24639.600000000002</v>
      </c>
      <c r="M28" s="86">
        <f>ROUND(VLOOKUP(B28,גיליון1!A25:B995,2,0),0)</f>
        <v>128062</v>
      </c>
      <c r="N28" s="108"/>
    </row>
    <row r="29" spans="1:14" ht="15.75">
      <c r="A29">
        <v>25</v>
      </c>
      <c r="B29" s="12">
        <v>514490515</v>
      </c>
      <c r="C29" s="13" t="s">
        <v>424</v>
      </c>
      <c r="D29" s="17" t="s">
        <v>59</v>
      </c>
      <c r="E29" s="6">
        <v>167085</v>
      </c>
      <c r="F29" s="6">
        <v>116959.49999999999</v>
      </c>
      <c r="G29" s="7">
        <f t="shared" si="0"/>
        <v>0.7</v>
      </c>
      <c r="H29" s="14">
        <v>256796</v>
      </c>
      <c r="I29" s="15">
        <f t="shared" si="1"/>
        <v>116959.49999999999</v>
      </c>
      <c r="J29" s="15">
        <f t="shared" si="2"/>
        <v>205436.80000000002</v>
      </c>
      <c r="K29" s="85">
        <f t="shared" si="3"/>
        <v>116960</v>
      </c>
      <c r="L29" s="79">
        <v>116959.49999999999</v>
      </c>
      <c r="M29" s="86">
        <f>ROUND(VLOOKUP(B29,גיליון1!A26:B996,2,0),0)</f>
        <v>256792</v>
      </c>
      <c r="N29" s="108"/>
    </row>
    <row r="30" spans="1:14" ht="15.75">
      <c r="A30" s="3">
        <v>26</v>
      </c>
      <c r="B30" s="60">
        <v>514712884</v>
      </c>
      <c r="C30" s="13" t="s">
        <v>674</v>
      </c>
      <c r="D30" s="20" t="s">
        <v>675</v>
      </c>
      <c r="E30" s="6">
        <v>231887</v>
      </c>
      <c r="F30" s="6">
        <v>92755</v>
      </c>
      <c r="G30" s="7">
        <f t="shared" si="0"/>
        <v>0.4000008624890572</v>
      </c>
      <c r="H30" s="14">
        <v>71542</v>
      </c>
      <c r="I30" s="15">
        <f t="shared" si="1"/>
        <v>162320.9</v>
      </c>
      <c r="J30" s="15">
        <f t="shared" si="2"/>
        <v>57233.600000000006</v>
      </c>
      <c r="K30" s="85">
        <f t="shared" si="3"/>
        <v>0</v>
      </c>
      <c r="L30" s="79">
        <v>115943.5</v>
      </c>
      <c r="M30" s="86">
        <f>ROUND(VLOOKUP(B30,גיליון1!A27:B997,2,0),0)</f>
        <v>71542</v>
      </c>
      <c r="N30" s="108"/>
    </row>
    <row r="31" spans="1:14" ht="15.75">
      <c r="A31">
        <v>27</v>
      </c>
      <c r="B31" s="60">
        <v>514713197</v>
      </c>
      <c r="C31" s="13" t="s">
        <v>676</v>
      </c>
      <c r="D31" s="20" t="s">
        <v>90</v>
      </c>
      <c r="E31" s="6">
        <v>78144</v>
      </c>
      <c r="F31" s="6">
        <v>39072</v>
      </c>
      <c r="G31" s="7">
        <f t="shared" si="0"/>
        <v>0.5</v>
      </c>
      <c r="H31" s="14">
        <v>67914</v>
      </c>
      <c r="I31" s="15">
        <f t="shared" si="1"/>
        <v>54700.799999999996</v>
      </c>
      <c r="J31" s="15">
        <f t="shared" si="2"/>
        <v>54331.200000000004</v>
      </c>
      <c r="K31" s="85">
        <f t="shared" si="3"/>
        <v>54331</v>
      </c>
      <c r="L31" s="79">
        <v>39072</v>
      </c>
      <c r="M31" s="86">
        <f>ROUND(VLOOKUP(B31,גיליון1!A28:B998,2,0),0)</f>
        <v>67914</v>
      </c>
      <c r="N31" s="108"/>
    </row>
    <row r="32" spans="1:14" ht="15.75">
      <c r="A32" s="3">
        <v>28</v>
      </c>
      <c r="B32" s="13">
        <v>514713361</v>
      </c>
      <c r="C32" s="13" t="s">
        <v>677</v>
      </c>
      <c r="D32" s="20" t="s">
        <v>90</v>
      </c>
      <c r="E32" s="6">
        <v>80489</v>
      </c>
      <c r="F32" s="6">
        <v>34424</v>
      </c>
      <c r="G32" s="7">
        <f t="shared" si="0"/>
        <v>0.42768577072643466</v>
      </c>
      <c r="H32" s="14">
        <v>34423</v>
      </c>
      <c r="I32" s="15">
        <f t="shared" si="1"/>
        <v>56342.299999999996</v>
      </c>
      <c r="J32" s="15">
        <f t="shared" si="2"/>
        <v>27538.4</v>
      </c>
      <c r="K32" s="85">
        <f t="shared" si="3"/>
        <v>0</v>
      </c>
      <c r="L32" s="79">
        <v>34423.5</v>
      </c>
      <c r="M32" s="86">
        <f>ROUND(VLOOKUP(B32,גיליון1!A29:B999,2,0),0)</f>
        <v>34423</v>
      </c>
      <c r="N32" s="108"/>
    </row>
    <row r="33" spans="1:14" ht="15.75">
      <c r="A33">
        <v>29</v>
      </c>
      <c r="B33" s="12">
        <v>514841907</v>
      </c>
      <c r="C33" s="13" t="s">
        <v>62</v>
      </c>
      <c r="D33" s="13" t="s">
        <v>56</v>
      </c>
      <c r="E33" s="6">
        <f>127470.75+193530</f>
        <v>321000.75</v>
      </c>
      <c r="F33" s="6">
        <v>89230</v>
      </c>
      <c r="G33" s="7">
        <f t="shared" si="0"/>
        <v>0.2779744284086564</v>
      </c>
      <c r="H33" s="14">
        <f>133629+277939</f>
        <v>411568</v>
      </c>
      <c r="I33" s="15">
        <f t="shared" si="1"/>
        <v>224700.525</v>
      </c>
      <c r="J33" s="15">
        <f t="shared" si="2"/>
        <v>329254.4</v>
      </c>
      <c r="K33" s="85">
        <f t="shared" si="3"/>
        <v>224701</v>
      </c>
      <c r="L33" s="79">
        <v>89229.525</v>
      </c>
      <c r="M33" s="86">
        <f>ROUND(VLOOKUP(B33,גיליון1!A30:B1000,2,0),0)</f>
        <v>133629</v>
      </c>
      <c r="N33" s="108"/>
    </row>
    <row r="34" spans="1:14" ht="15.75">
      <c r="A34" s="3">
        <v>30</v>
      </c>
      <c r="B34" s="18">
        <v>514918143</v>
      </c>
      <c r="C34" s="18" t="s">
        <v>1091</v>
      </c>
      <c r="D34" s="13"/>
      <c r="E34" s="116"/>
      <c r="F34" s="116"/>
      <c r="G34" s="117"/>
      <c r="H34" s="118">
        <v>4901</v>
      </c>
      <c r="I34" s="15"/>
      <c r="J34" s="15"/>
      <c r="K34" s="110"/>
      <c r="L34" s="79"/>
      <c r="M34" s="86"/>
      <c r="N34" s="108"/>
    </row>
    <row r="35" spans="1:14" ht="15.75">
      <c r="A35">
        <v>31</v>
      </c>
      <c r="B35" s="12">
        <v>514948637</v>
      </c>
      <c r="C35" s="13" t="s">
        <v>318</v>
      </c>
      <c r="D35" s="17" t="s">
        <v>59</v>
      </c>
      <c r="E35" s="6">
        <v>202850</v>
      </c>
      <c r="F35" s="6">
        <v>141995</v>
      </c>
      <c r="G35" s="7">
        <f aca="true" t="shared" si="4" ref="G35:G42">F35/E35</f>
        <v>0.7</v>
      </c>
      <c r="H35" s="14">
        <v>370266</v>
      </c>
      <c r="I35" s="15">
        <f aca="true" t="shared" si="5" ref="I35:I42">E35*$I$2</f>
        <v>141995</v>
      </c>
      <c r="J35" s="15">
        <f aca="true" t="shared" si="6" ref="J35:J42">H35*$J$2</f>
        <v>296212.8</v>
      </c>
      <c r="K35" s="85">
        <f aca="true" t="shared" si="7" ref="K35:K42">ROUND(IF(IF(MIN(I35,J35)&lt;F35,MIN(I35,J35)-F35,MIN(I35,J35))&lt;0,0,IF(MIN(I35,J35)&lt;F35,MIN(I35,J35)-F35,MIN(I35,J35))),0)</f>
        <v>141995</v>
      </c>
      <c r="L35" s="79">
        <v>141995</v>
      </c>
      <c r="M35" s="86">
        <f>ROUND(VLOOKUP(B35,גיליון1!A31:B1001,2,0),0)</f>
        <v>370262</v>
      </c>
      <c r="N35" s="108"/>
    </row>
    <row r="36" spans="1:14" ht="15.75">
      <c r="A36" s="3">
        <v>32</v>
      </c>
      <c r="B36" s="12">
        <v>515010916</v>
      </c>
      <c r="C36" s="13" t="s">
        <v>678</v>
      </c>
      <c r="D36" s="17" t="s">
        <v>59</v>
      </c>
      <c r="E36" s="6">
        <v>55390</v>
      </c>
      <c r="F36" s="6">
        <v>38773</v>
      </c>
      <c r="G36" s="7">
        <f t="shared" si="4"/>
        <v>0.7</v>
      </c>
      <c r="H36" s="14">
        <v>98460</v>
      </c>
      <c r="I36" s="15">
        <f t="shared" si="5"/>
        <v>38773</v>
      </c>
      <c r="J36" s="15">
        <f t="shared" si="6"/>
        <v>78768</v>
      </c>
      <c r="K36" s="85">
        <f t="shared" si="7"/>
        <v>38773</v>
      </c>
      <c r="L36" s="79">
        <v>38773</v>
      </c>
      <c r="M36" s="86">
        <f>ROUND(VLOOKUP(B36,גיליון1!A32:B1002,2,0),0)</f>
        <v>98457</v>
      </c>
      <c r="N36" s="108"/>
    </row>
    <row r="37" spans="1:14" ht="15.75">
      <c r="A37">
        <v>33</v>
      </c>
      <c r="B37" s="12">
        <v>515042414</v>
      </c>
      <c r="C37" s="13" t="s">
        <v>319</v>
      </c>
      <c r="D37" s="13" t="s">
        <v>56</v>
      </c>
      <c r="E37" s="6">
        <v>253820</v>
      </c>
      <c r="F37" s="6">
        <v>177674</v>
      </c>
      <c r="G37" s="7">
        <f t="shared" si="4"/>
        <v>0.7</v>
      </c>
      <c r="H37" s="14">
        <v>300781</v>
      </c>
      <c r="I37" s="15">
        <f t="shared" si="5"/>
        <v>177674</v>
      </c>
      <c r="J37" s="15">
        <f t="shared" si="6"/>
        <v>240624.80000000002</v>
      </c>
      <c r="K37" s="85">
        <f t="shared" si="7"/>
        <v>177674</v>
      </c>
      <c r="L37" s="79">
        <v>177674</v>
      </c>
      <c r="M37" s="86">
        <f>ROUND(VLOOKUP(B37,גיליון1!A33:B1003,2,0),0)</f>
        <v>300783</v>
      </c>
      <c r="N37" s="108"/>
    </row>
    <row r="38" spans="1:14" ht="15.75">
      <c r="A38" s="3">
        <v>34</v>
      </c>
      <c r="B38" s="12">
        <v>515488534</v>
      </c>
      <c r="C38" s="13" t="s">
        <v>491</v>
      </c>
      <c r="D38" s="13" t="s">
        <v>56</v>
      </c>
      <c r="E38" s="6">
        <v>248810.75</v>
      </c>
      <c r="F38" s="6">
        <v>174168</v>
      </c>
      <c r="G38" s="7">
        <f t="shared" si="4"/>
        <v>0.7000019090815007</v>
      </c>
      <c r="H38" s="14">
        <v>294850</v>
      </c>
      <c r="I38" s="15">
        <f t="shared" si="5"/>
        <v>174167.525</v>
      </c>
      <c r="J38" s="15">
        <f t="shared" si="6"/>
        <v>235880</v>
      </c>
      <c r="K38" s="85">
        <f t="shared" si="7"/>
        <v>0</v>
      </c>
      <c r="L38" s="79">
        <v>174167.525</v>
      </c>
      <c r="M38" s="86">
        <f>ROUND(VLOOKUP(B38,גיליון1!A34:B1004,2,0),0)</f>
        <v>294848</v>
      </c>
      <c r="N38" s="108"/>
    </row>
    <row r="39" spans="1:14" ht="15.75">
      <c r="A39">
        <v>35</v>
      </c>
      <c r="B39" s="12">
        <v>520041831</v>
      </c>
      <c r="C39" s="12" t="s">
        <v>613</v>
      </c>
      <c r="D39" s="13" t="s">
        <v>90</v>
      </c>
      <c r="E39" s="6">
        <v>208952</v>
      </c>
      <c r="F39" s="6">
        <v>104476</v>
      </c>
      <c r="G39" s="7">
        <f t="shared" si="4"/>
        <v>0.5</v>
      </c>
      <c r="H39" s="14">
        <v>154309</v>
      </c>
      <c r="I39" s="15">
        <f t="shared" si="5"/>
        <v>146266.4</v>
      </c>
      <c r="J39" s="15">
        <f t="shared" si="6"/>
        <v>123447.20000000001</v>
      </c>
      <c r="K39" s="85">
        <f t="shared" si="7"/>
        <v>123447</v>
      </c>
      <c r="L39" s="79">
        <v>104476</v>
      </c>
      <c r="M39" s="86">
        <f>ROUND(VLOOKUP(B39,גיליון1!A35:B1005,2,0),0)</f>
        <v>154309</v>
      </c>
      <c r="N39" s="108"/>
    </row>
    <row r="40" spans="1:14" ht="15.75">
      <c r="A40" s="3">
        <v>36</v>
      </c>
      <c r="B40" s="12">
        <v>580000263</v>
      </c>
      <c r="C40" s="12" t="s">
        <v>614</v>
      </c>
      <c r="D40" s="13" t="s">
        <v>68</v>
      </c>
      <c r="E40" s="6">
        <v>52553.25</v>
      </c>
      <c r="F40" s="6">
        <v>26277</v>
      </c>
      <c r="G40" s="7">
        <f t="shared" si="4"/>
        <v>0.5000071356195859</v>
      </c>
      <c r="H40" s="14">
        <v>77502</v>
      </c>
      <c r="I40" s="15">
        <f t="shared" si="5"/>
        <v>36787.274999999994</v>
      </c>
      <c r="J40" s="15">
        <f t="shared" si="6"/>
        <v>62001.600000000006</v>
      </c>
      <c r="K40" s="85">
        <f t="shared" si="7"/>
        <v>36787</v>
      </c>
      <c r="L40" s="79">
        <v>26276.625000000004</v>
      </c>
      <c r="M40" s="86">
        <f>ROUND(VLOOKUP(B40,גיליון1!A36:B1006,2,0),0)</f>
        <v>77502</v>
      </c>
      <c r="N40" s="108"/>
    </row>
    <row r="41" spans="1:14" ht="15.75">
      <c r="A41">
        <v>37</v>
      </c>
      <c r="B41" s="12">
        <v>580003499</v>
      </c>
      <c r="C41" s="12" t="s">
        <v>615</v>
      </c>
      <c r="D41" s="13" t="s">
        <v>68</v>
      </c>
      <c r="E41" s="6">
        <v>9948</v>
      </c>
      <c r="F41" s="6">
        <v>4974</v>
      </c>
      <c r="G41" s="7">
        <f t="shared" si="4"/>
        <v>0.5</v>
      </c>
      <c r="H41" s="14">
        <v>6367</v>
      </c>
      <c r="I41" s="15">
        <f t="shared" si="5"/>
        <v>6963.599999999999</v>
      </c>
      <c r="J41" s="15">
        <f t="shared" si="6"/>
        <v>5093.6</v>
      </c>
      <c r="K41" s="85">
        <f t="shared" si="7"/>
        <v>5094</v>
      </c>
      <c r="L41" s="79">
        <v>4974</v>
      </c>
      <c r="M41" s="86">
        <f>ROUND(VLOOKUP(B41,גיליון1!A37:B1007,2,0),0)</f>
        <v>6367</v>
      </c>
      <c r="N41" s="108"/>
    </row>
    <row r="42" spans="1:14" ht="15.75">
      <c r="A42" s="3">
        <v>38</v>
      </c>
      <c r="B42" s="13">
        <v>580007326</v>
      </c>
      <c r="C42" s="13" t="s">
        <v>63</v>
      </c>
      <c r="D42" s="13" t="s">
        <v>64</v>
      </c>
      <c r="E42" s="6">
        <v>98468.75</v>
      </c>
      <c r="F42" s="6">
        <v>68928</v>
      </c>
      <c r="G42" s="7">
        <f t="shared" si="4"/>
        <v>0.6999987305617265</v>
      </c>
      <c r="H42" s="14">
        <v>91910</v>
      </c>
      <c r="I42" s="15">
        <f t="shared" si="5"/>
        <v>68928.125</v>
      </c>
      <c r="J42" s="15">
        <f t="shared" si="6"/>
        <v>73528</v>
      </c>
      <c r="K42" s="85">
        <f t="shared" si="7"/>
        <v>68928</v>
      </c>
      <c r="L42" s="79">
        <v>68928.125</v>
      </c>
      <c r="M42" s="86">
        <f>ROUND(VLOOKUP(B42,גיליון1!A38:B1008,2,0),0)</f>
        <v>91910</v>
      </c>
      <c r="N42" s="108"/>
    </row>
    <row r="43" spans="1:14" ht="15.75">
      <c r="A43">
        <v>39</v>
      </c>
      <c r="B43" s="18">
        <v>580007656</v>
      </c>
      <c r="C43" s="18" t="s">
        <v>915</v>
      </c>
      <c r="D43" s="13"/>
      <c r="E43" s="116"/>
      <c r="F43" s="116"/>
      <c r="G43" s="117"/>
      <c r="H43" s="118">
        <v>2300</v>
      </c>
      <c r="I43" s="15"/>
      <c r="J43" s="15"/>
      <c r="K43" s="110"/>
      <c r="L43" s="79"/>
      <c r="M43" s="86"/>
      <c r="N43" s="108"/>
    </row>
    <row r="44" spans="1:14" ht="15.75">
      <c r="A44" s="3">
        <v>40</v>
      </c>
      <c r="B44" s="13">
        <v>580013340</v>
      </c>
      <c r="C44" s="13" t="s">
        <v>65</v>
      </c>
      <c r="D44" s="13" t="s">
        <v>56</v>
      </c>
      <c r="E44" s="6">
        <v>55656</v>
      </c>
      <c r="F44" s="6">
        <v>26224</v>
      </c>
      <c r="G44" s="7">
        <f aca="true" t="shared" si="8" ref="G44:G50">F44/E44</f>
        <v>0.4711801063676872</v>
      </c>
      <c r="H44" s="14">
        <v>26224</v>
      </c>
      <c r="I44" s="15">
        <f aca="true" t="shared" si="9" ref="I44:I50">E44*$I$2</f>
        <v>38959.2</v>
      </c>
      <c r="J44" s="15">
        <f>H44*$J$2</f>
        <v>20979.2</v>
      </c>
      <c r="K44" s="85">
        <f>ROUND(IF(IF(MIN(I44,J44)&lt;F44,MIN(I44,J44)-F44,MIN(I44,J44))&lt;0,0,IF(MIN(I44,J44)&lt;F44,MIN(I44,J44)-F44,MIN(I44,J44))),0)</f>
        <v>0</v>
      </c>
      <c r="L44" s="79">
        <v>27828</v>
      </c>
      <c r="M44" s="86">
        <f>ROUND(VLOOKUP(B44,גיליון1!A40:B1010,2,0),0)</f>
        <v>26224</v>
      </c>
      <c r="N44" s="108"/>
    </row>
    <row r="45" spans="1:14" ht="15.75">
      <c r="A45">
        <v>41</v>
      </c>
      <c r="B45" s="60">
        <v>580015758</v>
      </c>
      <c r="C45" s="13" t="s">
        <v>742</v>
      </c>
      <c r="D45" s="13" t="s">
        <v>68</v>
      </c>
      <c r="E45" s="6">
        <v>1112.25</v>
      </c>
      <c r="F45" s="6">
        <v>556</v>
      </c>
      <c r="G45" s="7">
        <f t="shared" si="8"/>
        <v>0.4998876151944257</v>
      </c>
      <c r="H45" s="14">
        <v>1388</v>
      </c>
      <c r="I45" s="15">
        <f t="shared" si="9"/>
        <v>778.5749999999999</v>
      </c>
      <c r="J45" s="15">
        <f>H45*$J$2</f>
        <v>1110.4</v>
      </c>
      <c r="K45" s="85">
        <f>ROUND(IF(IF(MIN(I45,J45)&lt;F45,MIN(I45,J45)-F45,MIN(I45,J45))&lt;0,0,IF(MIN(I45,J45)&lt;F45,MIN(I45,J45)-F45,MIN(I45,J45))),0)</f>
        <v>779</v>
      </c>
      <c r="L45" s="79">
        <v>556.125</v>
      </c>
      <c r="M45" s="86">
        <f>ROUND(VLOOKUP(B45,גיליון1!A41:B1011,2,0),0)</f>
        <v>1388</v>
      </c>
      <c r="N45" s="108"/>
    </row>
    <row r="46" spans="1:14" ht="15.75">
      <c r="A46" s="3">
        <v>42</v>
      </c>
      <c r="B46" s="12">
        <v>580016715</v>
      </c>
      <c r="C46" s="13" t="s">
        <v>66</v>
      </c>
      <c r="D46" s="17" t="s">
        <v>59</v>
      </c>
      <c r="E46" s="6">
        <f>1061756.96967592+268388</f>
        <v>1330144.96967592</v>
      </c>
      <c r="F46" s="6">
        <v>742344.8</v>
      </c>
      <c r="G46" s="7">
        <f t="shared" si="8"/>
        <v>0.5580931529447252</v>
      </c>
      <c r="H46" s="14">
        <f>927931+304996</f>
        <v>1232927</v>
      </c>
      <c r="I46" s="15">
        <f t="shared" si="9"/>
        <v>931101.478773144</v>
      </c>
      <c r="J46" s="15">
        <f>H46*$J$2</f>
        <v>986341.6000000001</v>
      </c>
      <c r="K46" s="85">
        <f>ROUND(IF(IF(MIN(I46,J46)&lt;F46,MIN(I46,J46)-F46,MIN(I46,J46))&lt;0,0,IF(MIN(I46,J46)&lt;F46,MIN(I46,J46)-F46,MIN(I46,J46))),0)</f>
        <v>931101</v>
      </c>
      <c r="L46" s="79">
        <v>742344.8</v>
      </c>
      <c r="M46" s="86">
        <f>ROUND(VLOOKUP(B46,גיליון1!A42:B1012,2,0),0)</f>
        <v>927928</v>
      </c>
      <c r="N46" s="108"/>
    </row>
    <row r="47" spans="1:14" ht="15.75">
      <c r="A47">
        <v>43</v>
      </c>
      <c r="B47" s="119">
        <v>580023679</v>
      </c>
      <c r="C47" s="45" t="s">
        <v>916</v>
      </c>
      <c r="D47" s="13"/>
      <c r="E47" s="116">
        <v>1112</v>
      </c>
      <c r="F47" s="116">
        <v>779</v>
      </c>
      <c r="G47" s="117">
        <f t="shared" si="8"/>
        <v>0.7005395683453237</v>
      </c>
      <c r="H47" s="118">
        <v>1388</v>
      </c>
      <c r="I47" s="15">
        <f t="shared" si="9"/>
        <v>778.4</v>
      </c>
      <c r="J47" s="15"/>
      <c r="K47" s="110"/>
      <c r="L47" s="79"/>
      <c r="M47" s="86"/>
      <c r="N47" s="108"/>
    </row>
    <row r="48" spans="1:14" ht="15.75">
      <c r="A48" s="3">
        <v>44</v>
      </c>
      <c r="B48" s="39">
        <v>580026003</v>
      </c>
      <c r="C48" s="13" t="s">
        <v>679</v>
      </c>
      <c r="D48" s="13" t="s">
        <v>64</v>
      </c>
      <c r="E48" s="6">
        <v>260681</v>
      </c>
      <c r="F48" s="6">
        <v>130341</v>
      </c>
      <c r="G48" s="7">
        <f t="shared" si="8"/>
        <v>0.5000019180530993</v>
      </c>
      <c r="H48" s="14">
        <v>379929</v>
      </c>
      <c r="I48" s="15">
        <f t="shared" si="9"/>
        <v>182476.69999999998</v>
      </c>
      <c r="J48" s="15">
        <f>H48*$J$2</f>
        <v>303943.2</v>
      </c>
      <c r="K48" s="85">
        <f>ROUND(IF(IF(MIN(I48,J48)&lt;F48,MIN(I48,J48)-F48,MIN(I48,J48))&lt;0,0,IF(MIN(I48,J48)&lt;F48,MIN(I48,J48)-F48,MIN(I48,J48))),0)</f>
        <v>182477</v>
      </c>
      <c r="L48" s="79">
        <v>130340.50000000001</v>
      </c>
      <c r="M48" s="86">
        <f>ROUND(VLOOKUP(B48,גיליון1!A43:B1013,2,0),0)</f>
        <v>446726</v>
      </c>
      <c r="N48" s="108"/>
    </row>
    <row r="49" spans="1:14" ht="15">
      <c r="A49">
        <v>45</v>
      </c>
      <c r="B49" s="18">
        <v>580026896</v>
      </c>
      <c r="C49" s="4" t="s">
        <v>554</v>
      </c>
      <c r="D49" s="4" t="s">
        <v>68</v>
      </c>
      <c r="E49" s="6">
        <v>10532.75</v>
      </c>
      <c r="F49" s="6">
        <v>5266</v>
      </c>
      <c r="G49" s="7">
        <f t="shared" si="8"/>
        <v>0.49996439676247895</v>
      </c>
      <c r="H49" s="14">
        <v>7743</v>
      </c>
      <c r="I49" s="15">
        <f t="shared" si="9"/>
        <v>7372.924999999999</v>
      </c>
      <c r="J49" s="15">
        <f>H49*$J$2</f>
        <v>6194.400000000001</v>
      </c>
      <c r="K49" s="85">
        <f>ROUND(IF(IF(MIN(I49,J49)&lt;F49,MIN(I49,J49)-F49,MIN(I49,J49))&lt;0,0,IF(MIN(I49,J49)&lt;F49,MIN(I49,J49)-F49,MIN(I49,J49))),0)</f>
        <v>6194</v>
      </c>
      <c r="L49" s="79">
        <v>5266.375</v>
      </c>
      <c r="M49" s="86">
        <f>ROUND(VLOOKUP(B49,גיליון1!A44:B1014,2,0),0)</f>
        <v>7743</v>
      </c>
      <c r="N49" s="108"/>
    </row>
    <row r="50" spans="1:14" ht="15.75">
      <c r="A50" s="3">
        <v>46</v>
      </c>
      <c r="B50" s="12">
        <v>580029874</v>
      </c>
      <c r="C50" s="12" t="s">
        <v>616</v>
      </c>
      <c r="D50" s="13" t="s">
        <v>64</v>
      </c>
      <c r="E50" s="6">
        <v>13475.25</v>
      </c>
      <c r="F50" s="6">
        <v>6738</v>
      </c>
      <c r="G50" s="7">
        <f t="shared" si="8"/>
        <v>0.5000278287972394</v>
      </c>
      <c r="H50" s="14">
        <v>25211</v>
      </c>
      <c r="I50" s="15">
        <f t="shared" si="9"/>
        <v>9432.675</v>
      </c>
      <c r="J50" s="15">
        <f>H50*$J$2</f>
        <v>20168.800000000003</v>
      </c>
      <c r="K50" s="85">
        <f>ROUND(IF(IF(MIN(I50,J50)&lt;F50,MIN(I50,J50)-F50,MIN(I50,J50))&lt;0,0,IF(MIN(I50,J50)&lt;F50,MIN(I50,J50)-F50,MIN(I50,J50))),0)</f>
        <v>9433</v>
      </c>
      <c r="L50" s="79">
        <v>6737.625</v>
      </c>
      <c r="M50" s="86">
        <f>ROUND(VLOOKUP(B50,גיליון1!A45:B1015,2,0),0)</f>
        <v>25211</v>
      </c>
      <c r="N50" s="108"/>
    </row>
    <row r="51" spans="1:14" ht="15.75">
      <c r="A51">
        <v>47</v>
      </c>
      <c r="B51" s="120">
        <v>580031540</v>
      </c>
      <c r="C51" s="120" t="s">
        <v>1057</v>
      </c>
      <c r="D51" s="13"/>
      <c r="E51" s="116">
        <v>12309433</v>
      </c>
      <c r="F51" s="116">
        <v>8616603</v>
      </c>
      <c r="G51" s="117"/>
      <c r="H51" s="118">
        <v>12309433</v>
      </c>
      <c r="I51" s="15"/>
      <c r="J51" s="15"/>
      <c r="K51" s="110"/>
      <c r="L51" s="79"/>
      <c r="M51" s="86"/>
      <c r="N51" s="108"/>
    </row>
    <row r="52" spans="1:14" ht="15.75">
      <c r="A52" s="3">
        <v>48</v>
      </c>
      <c r="B52" s="13">
        <v>580033116</v>
      </c>
      <c r="C52" s="13" t="s">
        <v>320</v>
      </c>
      <c r="D52" s="13" t="s">
        <v>64</v>
      </c>
      <c r="E52" s="6">
        <v>9948</v>
      </c>
      <c r="F52" s="6">
        <v>4974</v>
      </c>
      <c r="G52" s="7">
        <f>F52/E52</f>
        <v>0.5</v>
      </c>
      <c r="H52" s="14">
        <v>6367</v>
      </c>
      <c r="I52" s="15">
        <f>E52*$I$2</f>
        <v>6963.599999999999</v>
      </c>
      <c r="J52" s="15">
        <f>H52*$J$2</f>
        <v>5093.6</v>
      </c>
      <c r="K52" s="85">
        <f>ROUND(IF(IF(MIN(I52,J52)&lt;F52,MIN(I52,J52)-F52,MIN(I52,J52))&lt;0,0,IF(MIN(I52,J52)&lt;F52,MIN(I52,J52)-F52,MIN(I52,J52))),0)</f>
        <v>5094</v>
      </c>
      <c r="L52" s="79">
        <v>4974</v>
      </c>
      <c r="M52" s="86">
        <f>ROUND(VLOOKUP(B52,גיליון1!A46:B1016,2,0),0)</f>
        <v>6367</v>
      </c>
      <c r="N52" s="108"/>
    </row>
    <row r="53" spans="1:14" ht="15.75">
      <c r="A53">
        <v>49</v>
      </c>
      <c r="B53" s="12">
        <v>580036242</v>
      </c>
      <c r="C53" s="77" t="s">
        <v>715</v>
      </c>
      <c r="D53" s="4" t="s">
        <v>64</v>
      </c>
      <c r="E53" s="6">
        <v>633676.2</v>
      </c>
      <c r="F53" s="6">
        <v>443573</v>
      </c>
      <c r="G53" s="7">
        <f>F53/E53</f>
        <v>0.6999994634483669</v>
      </c>
      <c r="H53" s="14">
        <v>699694</v>
      </c>
      <c r="I53" s="15">
        <f>E53*$I$2</f>
        <v>443573.33999999997</v>
      </c>
      <c r="J53" s="15">
        <f>H53*$J$2</f>
        <v>559755.2000000001</v>
      </c>
      <c r="K53" s="85">
        <f>ROUND(IF(IF(MIN(I53,J53)&lt;F53,MIN(I53,J53)-F53,MIN(I53,J53))&lt;0,0,IF(MIN(I53,J53)&lt;F53,MIN(I53,J53)-F53,MIN(I53,J53))),0)</f>
        <v>443573</v>
      </c>
      <c r="L53" s="79">
        <v>443573.33999999997</v>
      </c>
      <c r="M53" s="86">
        <f>ROUND(VLOOKUP(B53,גיליון1!A47:B1017,2,0),0)</f>
        <v>849112</v>
      </c>
      <c r="N53" s="108"/>
    </row>
    <row r="54" spans="1:14" ht="15.75">
      <c r="A54" s="3">
        <v>50</v>
      </c>
      <c r="B54" s="41">
        <v>580036515</v>
      </c>
      <c r="C54" s="41" t="s">
        <v>1092</v>
      </c>
      <c r="D54" s="13"/>
      <c r="E54" s="116"/>
      <c r="F54" s="116"/>
      <c r="G54" s="117"/>
      <c r="H54" s="118">
        <v>4353</v>
      </c>
      <c r="I54" s="15"/>
      <c r="J54" s="15"/>
      <c r="K54" s="110"/>
      <c r="L54" s="79"/>
      <c r="M54" s="86"/>
      <c r="N54" s="108"/>
    </row>
    <row r="55" spans="1:14" ht="15">
      <c r="A55">
        <v>51</v>
      </c>
      <c r="B55" s="18">
        <v>580037661</v>
      </c>
      <c r="C55" s="4" t="s">
        <v>67</v>
      </c>
      <c r="D55" s="4" t="s">
        <v>68</v>
      </c>
      <c r="E55" s="6">
        <v>1483.25</v>
      </c>
      <c r="F55" s="6">
        <v>1038</v>
      </c>
      <c r="G55" s="7">
        <f>F55/E55</f>
        <v>0.6998145963256363</v>
      </c>
      <c r="H55" s="14">
        <v>1388</v>
      </c>
      <c r="I55" s="15">
        <f>E55*$I$2</f>
        <v>1038.2749999999999</v>
      </c>
      <c r="J55" s="15">
        <f>H55*$J$2</f>
        <v>1110.4</v>
      </c>
      <c r="K55" s="85">
        <f>ROUND(IF(IF(MIN(I55,J55)&lt;F55,MIN(I55,J55)-F55,MIN(I55,J55))&lt;0,0,IF(MIN(I55,J55)&lt;F55,MIN(I55,J55)-F55,MIN(I55,J55))),0)</f>
        <v>1038</v>
      </c>
      <c r="L55" s="79">
        <v>1038.2749999999999</v>
      </c>
      <c r="M55" s="86">
        <f>ROUND(VLOOKUP(B55,גיליון1!A48:B1018,2,0),0)</f>
        <v>1388</v>
      </c>
      <c r="N55" s="108"/>
    </row>
    <row r="56" spans="1:14" ht="15.75">
      <c r="A56" s="3">
        <v>52</v>
      </c>
      <c r="B56" s="12">
        <v>580037828</v>
      </c>
      <c r="C56" s="12" t="s">
        <v>617</v>
      </c>
      <c r="D56" s="13" t="s">
        <v>59</v>
      </c>
      <c r="E56" s="6">
        <v>9465</v>
      </c>
      <c r="F56" s="6">
        <v>3924</v>
      </c>
      <c r="G56" s="7">
        <f>F56/E56</f>
        <v>0.41458003169572105</v>
      </c>
      <c r="H56" s="14">
        <v>17470</v>
      </c>
      <c r="I56" s="15">
        <f>E56*$I$2</f>
        <v>6625.5</v>
      </c>
      <c r="J56" s="15">
        <f>H56*$J$2</f>
        <v>13976</v>
      </c>
      <c r="K56" s="85">
        <f>ROUND(IF(IF(MIN(I56,J56)&lt;F56,MIN(I56,J56)-F56,MIN(I56,J56))&lt;0,0,IF(MIN(I56,J56)&lt;F56,MIN(I56,J56)-F56,MIN(I56,J56))),0)</f>
        <v>6626</v>
      </c>
      <c r="L56" s="79">
        <v>3924.2</v>
      </c>
      <c r="M56" s="86">
        <f>ROUND(VLOOKUP(B56,גיליון1!A49:B1019,2,0),0)</f>
        <v>17469</v>
      </c>
      <c r="N56" s="108"/>
    </row>
    <row r="57" spans="1:14" ht="15.75">
      <c r="A57">
        <v>53</v>
      </c>
      <c r="B57" s="12">
        <v>580038156</v>
      </c>
      <c r="C57" s="13" t="s">
        <v>251</v>
      </c>
      <c r="D57" s="13" t="s">
        <v>56</v>
      </c>
      <c r="E57" s="6">
        <v>465422</v>
      </c>
      <c r="F57" s="6">
        <v>325653</v>
      </c>
      <c r="G57" s="7">
        <f>F57/E57</f>
        <v>0.6996940411067805</v>
      </c>
      <c r="H57" s="14">
        <v>407066</v>
      </c>
      <c r="I57" s="15">
        <f>E57*$I$2</f>
        <v>325795.39999999997</v>
      </c>
      <c r="J57" s="15">
        <f>H57*$J$2</f>
        <v>325652.80000000005</v>
      </c>
      <c r="K57" s="85">
        <f>ROUND(IF(IF(MIN(I57,J57)&lt;F57,MIN(I57,J57)-F57,MIN(I57,J57))&lt;0,0,IF(MIN(I57,J57)&lt;F57,MIN(I57,J57)-F57,MIN(I57,J57))),0)</f>
        <v>0</v>
      </c>
      <c r="L57" s="79">
        <v>325652.81600000005</v>
      </c>
      <c r="M57" s="86">
        <f>ROUND(VLOOKUP(B57,גיליון1!A50:B1020,2,0),0)</f>
        <v>407064</v>
      </c>
      <c r="N57" s="108"/>
    </row>
    <row r="58" spans="1:14" s="26" customFormat="1" ht="15.75">
      <c r="A58" s="3">
        <v>54</v>
      </c>
      <c r="B58" s="121">
        <v>580040376</v>
      </c>
      <c r="C58" s="120" t="s">
        <v>919</v>
      </c>
      <c r="D58" s="13"/>
      <c r="E58" s="116">
        <v>6876</v>
      </c>
      <c r="F58" s="116">
        <v>2857</v>
      </c>
      <c r="G58" s="117"/>
      <c r="H58" s="118">
        <v>5714</v>
      </c>
      <c r="I58" s="15"/>
      <c r="J58" s="15"/>
      <c r="K58" s="110"/>
      <c r="L58" s="79"/>
      <c r="M58" s="86"/>
      <c r="N58" s="108"/>
    </row>
    <row r="59" spans="1:14" ht="15.75">
      <c r="A59">
        <v>55</v>
      </c>
      <c r="B59" s="12">
        <v>580042125</v>
      </c>
      <c r="C59" s="13" t="s">
        <v>555</v>
      </c>
      <c r="D59" s="13" t="s">
        <v>56</v>
      </c>
      <c r="E59" s="6">
        <f>252786+193530</f>
        <v>446316</v>
      </c>
      <c r="F59" s="6">
        <v>176950</v>
      </c>
      <c r="G59" s="7">
        <f>F59/E59</f>
        <v>0.3964679733641635</v>
      </c>
      <c r="H59" s="14">
        <f>376612+277939</f>
        <v>654551</v>
      </c>
      <c r="I59" s="15">
        <f>E59*$I$2</f>
        <v>312421.19999999995</v>
      </c>
      <c r="J59" s="15">
        <f>H59*$J$2</f>
        <v>523640.80000000005</v>
      </c>
      <c r="K59" s="85">
        <f>ROUND(IF(IF(MIN(I59,J59)&lt;F59,MIN(I59,J59)-F59,MIN(I59,J59))&lt;0,0,IF(MIN(I59,J59)&lt;F59,MIN(I59,J59)-F59,MIN(I59,J59))),0)</f>
        <v>312421</v>
      </c>
      <c r="L59" s="79">
        <v>176950.19999999998</v>
      </c>
      <c r="M59" s="86">
        <f>ROUND(VLOOKUP(B59,גיליון1!A51:B1021,2,0),0)</f>
        <v>376612</v>
      </c>
      <c r="N59" s="108"/>
    </row>
    <row r="60" spans="1:14" ht="15.75">
      <c r="A60" s="3">
        <v>56</v>
      </c>
      <c r="B60" s="12">
        <v>580046829</v>
      </c>
      <c r="C60" s="13" t="s">
        <v>321</v>
      </c>
      <c r="D60" s="13" t="s">
        <v>56</v>
      </c>
      <c r="E60" s="6">
        <v>323352.25</v>
      </c>
      <c r="F60" s="6">
        <v>226346.57499999998</v>
      </c>
      <c r="G60" s="7">
        <f>F60/E60</f>
        <v>0.7</v>
      </c>
      <c r="H60" s="14">
        <v>383177</v>
      </c>
      <c r="I60" s="15">
        <f>E60*$I$2</f>
        <v>226346.57499999998</v>
      </c>
      <c r="J60" s="15">
        <f>H60*$J$2</f>
        <v>306541.60000000003</v>
      </c>
      <c r="K60" s="85">
        <f>ROUND(IF(IF(MIN(I60,J60)&lt;F60,MIN(I60,J60)-F60,MIN(I60,J60))&lt;0,0,IF(MIN(I60,J60)&lt;F60,MIN(I60,J60)-F60,MIN(I60,J60))),0)</f>
        <v>226347</v>
      </c>
      <c r="L60" s="79">
        <v>226346.57499999998</v>
      </c>
      <c r="M60" s="86">
        <f>ROUND(VLOOKUP(B60,גיליון1!A52:B1022,2,0),0)</f>
        <v>383180</v>
      </c>
      <c r="N60" s="108"/>
    </row>
    <row r="61" spans="1:14" ht="15.75">
      <c r="A61">
        <v>57</v>
      </c>
      <c r="B61" s="120">
        <v>580047165</v>
      </c>
      <c r="C61" s="120" t="s">
        <v>1058</v>
      </c>
      <c r="D61" s="13"/>
      <c r="E61" s="116">
        <v>1450327</v>
      </c>
      <c r="F61" s="116">
        <v>1015229</v>
      </c>
      <c r="G61" s="117"/>
      <c r="H61" s="118">
        <v>1450327</v>
      </c>
      <c r="I61" s="15"/>
      <c r="J61" s="15"/>
      <c r="K61" s="110"/>
      <c r="L61" s="79"/>
      <c r="M61" s="86"/>
      <c r="N61" s="108"/>
    </row>
    <row r="62" spans="1:14" ht="15.75">
      <c r="A62" s="3">
        <v>58</v>
      </c>
      <c r="B62" s="37">
        <v>580049534</v>
      </c>
      <c r="C62" s="13" t="s">
        <v>322</v>
      </c>
      <c r="D62" s="17" t="s">
        <v>59</v>
      </c>
      <c r="E62" s="6">
        <v>340681.80000000005</v>
      </c>
      <c r="F62" s="6">
        <v>170341</v>
      </c>
      <c r="G62" s="7">
        <f>F62/E62</f>
        <v>0.500000293529035</v>
      </c>
      <c r="H62" s="14">
        <v>202414</v>
      </c>
      <c r="I62" s="15">
        <f>E62*$I$2</f>
        <v>238477.26</v>
      </c>
      <c r="J62" s="15">
        <f>H62*$J$2</f>
        <v>161931.2</v>
      </c>
      <c r="K62" s="85">
        <f>ROUND(IF(IF(MIN(I62,J62)&lt;F62,MIN(I62,J62)-F62,MIN(I62,J62))&lt;0,0,IF(MIN(I62,J62)&lt;F62,MIN(I62,J62)-F62,MIN(I62,J62))),0)</f>
        <v>0</v>
      </c>
      <c r="L62" s="79">
        <v>170340.90000000002</v>
      </c>
      <c r="M62" s="86">
        <f>ROUND(VLOOKUP(B62,גיליון1!A53:B1023,2,0),0)</f>
        <v>202414</v>
      </c>
      <c r="N62" s="108"/>
    </row>
    <row r="63" spans="1:14" ht="15.75">
      <c r="A63">
        <v>59</v>
      </c>
      <c r="B63" s="13">
        <v>580052728</v>
      </c>
      <c r="C63" s="13" t="s">
        <v>323</v>
      </c>
      <c r="D63" s="13" t="s">
        <v>64</v>
      </c>
      <c r="E63" s="6">
        <v>992230.8</v>
      </c>
      <c r="F63" s="6">
        <v>694562</v>
      </c>
      <c r="G63" s="7">
        <f>F63/E63</f>
        <v>0.7000004434452145</v>
      </c>
      <c r="H63" s="14">
        <v>904000</v>
      </c>
      <c r="I63" s="15">
        <f>E63*$I$2</f>
        <v>694561.5599999999</v>
      </c>
      <c r="J63" s="15">
        <f>H63*$J$2</f>
        <v>723200</v>
      </c>
      <c r="K63" s="85">
        <f>ROUND(IF(IF(MIN(I63,J63)&lt;F63,MIN(I63,J63)-F63,MIN(I63,J63))&lt;0,0,IF(MIN(I63,J63)&lt;F63,MIN(I63,J63)-F63,MIN(I63,J63))),0)</f>
        <v>0</v>
      </c>
      <c r="L63" s="79">
        <v>694561.5599999999</v>
      </c>
      <c r="M63" s="86">
        <f>ROUND(VLOOKUP(B63,גיליון1!A54:B1024,2,0),0)</f>
        <v>743660</v>
      </c>
      <c r="N63" s="108"/>
    </row>
    <row r="64" spans="1:14" ht="15.75">
      <c r="A64" s="3">
        <v>60</v>
      </c>
      <c r="B64" s="120">
        <v>580052793</v>
      </c>
      <c r="C64" s="120" t="s">
        <v>1059</v>
      </c>
      <c r="D64" s="13"/>
      <c r="E64" s="116">
        <v>8405069</v>
      </c>
      <c r="F64" s="116">
        <v>5851013</v>
      </c>
      <c r="G64" s="117"/>
      <c r="H64" s="118">
        <v>8405069</v>
      </c>
      <c r="I64" s="15"/>
      <c r="J64" s="15"/>
      <c r="K64" s="110"/>
      <c r="L64" s="79"/>
      <c r="M64" s="86"/>
      <c r="N64" s="108"/>
    </row>
    <row r="65" spans="1:14" ht="15.75">
      <c r="A65">
        <v>61</v>
      </c>
      <c r="B65" s="119">
        <v>580055937</v>
      </c>
      <c r="C65" s="45" t="s">
        <v>1060</v>
      </c>
      <c r="D65" s="13"/>
      <c r="E65" s="116">
        <v>166642</v>
      </c>
      <c r="F65" s="116">
        <v>83321</v>
      </c>
      <c r="G65" s="117"/>
      <c r="H65" s="118">
        <v>229734</v>
      </c>
      <c r="I65" s="15"/>
      <c r="J65" s="15"/>
      <c r="K65" s="110"/>
      <c r="L65" s="79"/>
      <c r="M65" s="86"/>
      <c r="N65" s="108"/>
    </row>
    <row r="66" spans="1:14" ht="15">
      <c r="A66" s="3">
        <v>62</v>
      </c>
      <c r="B66" s="31">
        <v>580056497</v>
      </c>
      <c r="C66" s="18" t="s">
        <v>553</v>
      </c>
      <c r="D66" s="4" t="s">
        <v>64</v>
      </c>
      <c r="E66" s="6">
        <v>7090</v>
      </c>
      <c r="F66" s="6">
        <v>3545</v>
      </c>
      <c r="G66" s="7">
        <f>F66/E66</f>
        <v>0.5</v>
      </c>
      <c r="H66" s="14">
        <v>7679</v>
      </c>
      <c r="I66" s="15">
        <f>E66*$I$2</f>
        <v>4963</v>
      </c>
      <c r="J66" s="15">
        <f>H66*$J$2</f>
        <v>6143.200000000001</v>
      </c>
      <c r="K66" s="85">
        <f>ROUND(IF(IF(MIN(I66,J66)&lt;F66,MIN(I66,J66)-F66,MIN(I66,J66))&lt;0,0,IF(MIN(I66,J66)&lt;F66,MIN(I66,J66)-F66,MIN(I66,J66))),0)</f>
        <v>4963</v>
      </c>
      <c r="L66" s="79">
        <v>3545</v>
      </c>
      <c r="M66" s="86">
        <f>ROUND(VLOOKUP(B66,גיליון1!A55:B1025,2,0),0)</f>
        <v>7642</v>
      </c>
      <c r="N66" s="108"/>
    </row>
    <row r="67" spans="1:14" ht="15">
      <c r="A67">
        <v>63</v>
      </c>
      <c r="B67" s="18">
        <v>580059566</v>
      </c>
      <c r="C67" s="4" t="s">
        <v>252</v>
      </c>
      <c r="D67" s="4" t="s">
        <v>68</v>
      </c>
      <c r="E67" s="6">
        <v>83603.25</v>
      </c>
      <c r="F67" s="6">
        <v>58522.274999999994</v>
      </c>
      <c r="G67" s="7">
        <f>F67/E67</f>
        <v>0.7</v>
      </c>
      <c r="H67" s="14">
        <v>120281</v>
      </c>
      <c r="I67" s="15">
        <f>E67*$I$2</f>
        <v>58522.274999999994</v>
      </c>
      <c r="J67" s="15">
        <f>H67*$J$2</f>
        <v>96224.8</v>
      </c>
      <c r="K67" s="85">
        <f>ROUND(IF(IF(MIN(I67,J67)&lt;F67,MIN(I67,J67)-F67,MIN(I67,J67))&lt;0,0,IF(MIN(I67,J67)&lt;F67,MIN(I67,J67)-F67,MIN(I67,J67))),0)</f>
        <v>58522</v>
      </c>
      <c r="L67" s="79">
        <v>58522.274999999994</v>
      </c>
      <c r="M67" s="86">
        <f>ROUND(VLOOKUP(B67,גיליון1!A56:B1026,2,0),0)</f>
        <v>120278</v>
      </c>
      <c r="N67" s="108"/>
    </row>
    <row r="68" spans="1:14" ht="15">
      <c r="A68" s="3">
        <v>64</v>
      </c>
      <c r="B68" s="18">
        <v>580062206</v>
      </c>
      <c r="C68" s="4" t="s">
        <v>729</v>
      </c>
      <c r="D68" s="4" t="s">
        <v>68</v>
      </c>
      <c r="E68" s="6">
        <v>3610</v>
      </c>
      <c r="F68" s="6">
        <v>1805</v>
      </c>
      <c r="G68" s="7">
        <f>F68/E68</f>
        <v>0.5</v>
      </c>
      <c r="H68" s="14">
        <v>3814</v>
      </c>
      <c r="I68" s="15">
        <f>E68*$I$2</f>
        <v>2527</v>
      </c>
      <c r="J68" s="15">
        <f>H68*$J$2</f>
        <v>3051.2000000000003</v>
      </c>
      <c r="K68" s="85">
        <f>ROUND(IF(IF(MIN(I68,J68)&lt;F68,MIN(I68,J68)-F68,MIN(I68,J68))&lt;0,0,IF(MIN(I68,J68)&lt;F68,MIN(I68,J68)-F68,MIN(I68,J68))),0)</f>
        <v>2527</v>
      </c>
      <c r="L68" s="79">
        <v>1805</v>
      </c>
      <c r="M68" s="86">
        <f>ROUND(VLOOKUP(B68,גיליון1!A57:B1027,2,0),0)</f>
        <v>3814</v>
      </c>
      <c r="N68" s="108"/>
    </row>
    <row r="69" spans="1:14" ht="15.75">
      <c r="A69">
        <v>65</v>
      </c>
      <c r="B69" s="120">
        <v>580076818</v>
      </c>
      <c r="C69" s="120" t="s">
        <v>1061</v>
      </c>
      <c r="D69" s="13"/>
      <c r="E69" s="116">
        <v>238850</v>
      </c>
      <c r="F69" s="116">
        <v>167195</v>
      </c>
      <c r="G69" s="117"/>
      <c r="H69" s="118">
        <v>238850</v>
      </c>
      <c r="I69" s="15"/>
      <c r="J69" s="15"/>
      <c r="K69" s="110"/>
      <c r="L69" s="79"/>
      <c r="M69" s="86"/>
      <c r="N69" s="108"/>
    </row>
    <row r="70" spans="1:14" ht="15.75">
      <c r="A70" s="3">
        <v>66</v>
      </c>
      <c r="B70" s="129">
        <v>580082576</v>
      </c>
      <c r="C70" s="130" t="s">
        <v>1093</v>
      </c>
      <c r="D70" s="13"/>
      <c r="E70" s="116"/>
      <c r="F70" s="116"/>
      <c r="G70" s="117"/>
      <c r="H70" s="118">
        <v>2300</v>
      </c>
      <c r="I70" s="15"/>
      <c r="J70" s="15"/>
      <c r="K70" s="110"/>
      <c r="L70" s="79"/>
      <c r="M70" s="86"/>
      <c r="N70" s="108"/>
    </row>
    <row r="71" spans="1:14" ht="15.75">
      <c r="A71">
        <v>67</v>
      </c>
      <c r="B71" s="12">
        <v>580093151</v>
      </c>
      <c r="C71" s="13" t="s">
        <v>425</v>
      </c>
      <c r="D71" s="13" t="s">
        <v>56</v>
      </c>
      <c r="E71" s="6">
        <f>1119031+91106</f>
        <v>1210137</v>
      </c>
      <c r="F71" s="6">
        <v>678521</v>
      </c>
      <c r="G71" s="7">
        <f>F71/E71</f>
        <v>0.5606976730733793</v>
      </c>
      <c r="H71" s="14">
        <f>953110+34421</f>
        <v>987531</v>
      </c>
      <c r="I71" s="15">
        <f>E71*$I$2</f>
        <v>847095.8999999999</v>
      </c>
      <c r="J71" s="15">
        <f>H71*$J$2</f>
        <v>790024.8</v>
      </c>
      <c r="K71" s="85">
        <f>ROUND(IF(IF(MIN(I71,J71)&lt;F71,MIN(I71,J71)-F71,MIN(I71,J71))&lt;0,0,IF(MIN(I71,J71)&lt;F71,MIN(I71,J71)-F71,MIN(I71,J71))),0)</f>
        <v>790025</v>
      </c>
      <c r="L71" s="79">
        <v>142351.47499999998</v>
      </c>
      <c r="M71" s="86">
        <f>ROUND(VLOOKUP(B71,גיליון1!A58:B1028,2,0),0)</f>
        <v>953099</v>
      </c>
      <c r="N71" s="108"/>
    </row>
    <row r="72" spans="1:14" ht="15.75">
      <c r="A72" s="3">
        <v>68</v>
      </c>
      <c r="B72" s="122">
        <v>580093680</v>
      </c>
      <c r="C72" s="120" t="s">
        <v>926</v>
      </c>
      <c r="D72" s="13"/>
      <c r="E72" s="116">
        <v>131801</v>
      </c>
      <c r="F72" s="116">
        <v>65901</v>
      </c>
      <c r="G72" s="117"/>
      <c r="H72" s="118">
        <v>121284</v>
      </c>
      <c r="I72" s="15"/>
      <c r="J72" s="15"/>
      <c r="K72" s="110"/>
      <c r="L72" s="79"/>
      <c r="M72" s="86"/>
      <c r="N72" s="108"/>
    </row>
    <row r="73" spans="1:14" ht="15.75">
      <c r="A73">
        <v>69</v>
      </c>
      <c r="B73" s="12">
        <v>580095396</v>
      </c>
      <c r="C73" s="13" t="s">
        <v>253</v>
      </c>
      <c r="D73" s="17" t="s">
        <v>59</v>
      </c>
      <c r="E73" s="6">
        <f>351711.75+193530</f>
        <v>545241.75</v>
      </c>
      <c r="F73" s="6">
        <v>246198</v>
      </c>
      <c r="G73" s="7">
        <f aca="true" t="shared" si="10" ref="G73:G82">F73/E73</f>
        <v>0.45153915671351286</v>
      </c>
      <c r="H73" s="14">
        <f>381178+305733</f>
        <v>686911</v>
      </c>
      <c r="I73" s="15">
        <f aca="true" t="shared" si="11" ref="I73:I82">E73*$I$2</f>
        <v>381669.225</v>
      </c>
      <c r="J73" s="15">
        <f aca="true" t="shared" si="12" ref="J73:J82">H73*$J$2</f>
        <v>549528.8</v>
      </c>
      <c r="K73" s="85">
        <f aca="true" t="shared" si="13" ref="K73:K82">ROUND(IF(IF(MIN(I73,J73)&lt;F73,MIN(I73,J73)-F73,MIN(I73,J73))&lt;0,0,IF(MIN(I73,J73)&lt;F73,MIN(I73,J73)-F73,MIN(I73,J73))),0)</f>
        <v>381669</v>
      </c>
      <c r="L73" s="79">
        <v>246198.22499999998</v>
      </c>
      <c r="M73" s="86">
        <f>ROUND(VLOOKUP(B73,גיליון1!A59:B1029,2,0),0)</f>
        <v>381178</v>
      </c>
      <c r="N73" s="108"/>
    </row>
    <row r="74" spans="1:14" ht="15.75">
      <c r="A74" s="3">
        <v>70</v>
      </c>
      <c r="B74" s="12">
        <v>580096121</v>
      </c>
      <c r="C74" s="13" t="s">
        <v>762</v>
      </c>
      <c r="D74" s="17" t="s">
        <v>59</v>
      </c>
      <c r="E74" s="6">
        <v>12513</v>
      </c>
      <c r="F74" s="6">
        <v>8759</v>
      </c>
      <c r="G74" s="7">
        <f t="shared" si="10"/>
        <v>0.6999920083113562</v>
      </c>
      <c r="H74" s="14">
        <v>17484</v>
      </c>
      <c r="I74" s="15">
        <f t="shared" si="11"/>
        <v>8759.099999999999</v>
      </c>
      <c r="J74" s="15">
        <f t="shared" si="12"/>
        <v>13987.2</v>
      </c>
      <c r="K74" s="85">
        <f t="shared" si="13"/>
        <v>8759</v>
      </c>
      <c r="L74" s="79">
        <v>8759.099999999999</v>
      </c>
      <c r="M74" s="86">
        <f>ROUND(VLOOKUP(B74,גיליון1!A60:B1030,2,0),0)</f>
        <v>17483</v>
      </c>
      <c r="N74" s="108"/>
    </row>
    <row r="75" spans="1:14" ht="15.75">
      <c r="A75">
        <v>71</v>
      </c>
      <c r="B75" s="13">
        <v>580096675</v>
      </c>
      <c r="C75" s="13" t="s">
        <v>69</v>
      </c>
      <c r="D75" s="13" t="s">
        <v>70</v>
      </c>
      <c r="E75" s="6">
        <v>6441.5</v>
      </c>
      <c r="F75" s="6">
        <v>4223</v>
      </c>
      <c r="G75" s="7">
        <f t="shared" si="10"/>
        <v>0.6555926414654971</v>
      </c>
      <c r="H75" s="14">
        <v>5279</v>
      </c>
      <c r="I75" s="15">
        <f t="shared" si="11"/>
        <v>4509.049999999999</v>
      </c>
      <c r="J75" s="15">
        <f t="shared" si="12"/>
        <v>4223.2</v>
      </c>
      <c r="K75" s="85">
        <f t="shared" si="13"/>
        <v>4223</v>
      </c>
      <c r="L75" s="79">
        <v>4223.224</v>
      </c>
      <c r="M75" s="86">
        <f>ROUND(VLOOKUP(B75,גיליון1!A61:B1031,2,0),0)</f>
        <v>5279</v>
      </c>
      <c r="N75" s="108"/>
    </row>
    <row r="76" spans="1:14" ht="15.75">
      <c r="A76" s="3">
        <v>72</v>
      </c>
      <c r="B76" s="13">
        <v>580100121</v>
      </c>
      <c r="C76" s="13" t="s">
        <v>71</v>
      </c>
      <c r="D76" s="13" t="s">
        <v>70</v>
      </c>
      <c r="E76" s="6">
        <f>127470.75+193530</f>
        <v>321000.75</v>
      </c>
      <c r="F76" s="6">
        <v>89230</v>
      </c>
      <c r="G76" s="7">
        <f t="shared" si="10"/>
        <v>0.2779744284086564</v>
      </c>
      <c r="H76" s="14">
        <f>133629+277939</f>
        <v>411568</v>
      </c>
      <c r="I76" s="15">
        <f t="shared" si="11"/>
        <v>224700.525</v>
      </c>
      <c r="J76" s="15">
        <f t="shared" si="12"/>
        <v>329254.4</v>
      </c>
      <c r="K76" s="85">
        <f t="shared" si="13"/>
        <v>224701</v>
      </c>
      <c r="L76" s="79">
        <v>89229.525</v>
      </c>
      <c r="M76" s="86">
        <f>ROUND(VLOOKUP(B76,גיליון1!A62:B1032,2,0),0)</f>
        <v>133629</v>
      </c>
      <c r="N76" s="108"/>
    </row>
    <row r="77" spans="1:14" ht="15.75">
      <c r="A77">
        <v>73</v>
      </c>
      <c r="B77" s="12">
        <v>580100139</v>
      </c>
      <c r="C77" s="13" t="s">
        <v>493</v>
      </c>
      <c r="D77" s="17" t="s">
        <v>59</v>
      </c>
      <c r="E77" s="6">
        <v>98258.5</v>
      </c>
      <c r="F77" s="6">
        <v>39303</v>
      </c>
      <c r="G77" s="7">
        <f t="shared" si="10"/>
        <v>0.39999592910537</v>
      </c>
      <c r="H77" s="14">
        <v>109800</v>
      </c>
      <c r="I77" s="15">
        <f t="shared" si="11"/>
        <v>68780.95</v>
      </c>
      <c r="J77" s="15">
        <f t="shared" si="12"/>
        <v>87840</v>
      </c>
      <c r="K77" s="85">
        <f t="shared" si="13"/>
        <v>68781</v>
      </c>
      <c r="L77" s="79">
        <v>39303.4</v>
      </c>
      <c r="M77" s="86">
        <f>ROUND(VLOOKUP(B77,גיליון1!A63:B1033,2,0),0)</f>
        <v>109799</v>
      </c>
      <c r="N77" s="108"/>
    </row>
    <row r="78" spans="1:14" ht="15.75">
      <c r="A78" s="3">
        <v>74</v>
      </c>
      <c r="B78" s="40">
        <v>580103778</v>
      </c>
      <c r="C78" s="34" t="s">
        <v>254</v>
      </c>
      <c r="D78" s="13" t="s">
        <v>56</v>
      </c>
      <c r="E78" s="6">
        <v>190950</v>
      </c>
      <c r="F78" s="6">
        <v>95475</v>
      </c>
      <c r="G78" s="7">
        <f t="shared" si="10"/>
        <v>0.5</v>
      </c>
      <c r="H78" s="14">
        <v>108795</v>
      </c>
      <c r="I78" s="15">
        <f t="shared" si="11"/>
        <v>133665</v>
      </c>
      <c r="J78" s="15">
        <f t="shared" si="12"/>
        <v>87036</v>
      </c>
      <c r="K78" s="85">
        <f t="shared" si="13"/>
        <v>0</v>
      </c>
      <c r="L78" s="79">
        <v>10848.7</v>
      </c>
      <c r="M78" s="86">
        <f>ROUND(VLOOKUP(B78,גיליון1!A64:B1034,2,0),0)</f>
        <v>30043</v>
      </c>
      <c r="N78" s="108"/>
    </row>
    <row r="79" spans="1:14" ht="15">
      <c r="A79">
        <v>75</v>
      </c>
      <c r="B79" s="41">
        <v>580106631</v>
      </c>
      <c r="C79" s="42" t="s">
        <v>324</v>
      </c>
      <c r="D79" s="42" t="s">
        <v>68</v>
      </c>
      <c r="E79" s="6">
        <v>5180.75</v>
      </c>
      <c r="F79" s="6">
        <v>2590</v>
      </c>
      <c r="G79" s="7">
        <f t="shared" si="10"/>
        <v>0.4999276166578198</v>
      </c>
      <c r="H79" s="14">
        <v>2808</v>
      </c>
      <c r="I79" s="15">
        <f t="shared" si="11"/>
        <v>3626.5249999999996</v>
      </c>
      <c r="J79" s="15">
        <f t="shared" si="12"/>
        <v>2246.4</v>
      </c>
      <c r="K79" s="85">
        <f t="shared" si="13"/>
        <v>0</v>
      </c>
      <c r="L79" s="79">
        <v>2590.375</v>
      </c>
      <c r="M79" s="86">
        <f>ROUND(VLOOKUP(B79,גיליון1!A65:B1035,2,0),0)</f>
        <v>2808</v>
      </c>
      <c r="N79" s="108"/>
    </row>
    <row r="80" spans="1:14" ht="15.75">
      <c r="A80" s="3">
        <v>76</v>
      </c>
      <c r="B80" s="12">
        <v>580106805</v>
      </c>
      <c r="C80" s="13" t="s">
        <v>72</v>
      </c>
      <c r="D80" s="17" t="s">
        <v>59</v>
      </c>
      <c r="E80" s="6">
        <v>133759.5</v>
      </c>
      <c r="F80" s="6">
        <v>93632</v>
      </c>
      <c r="G80" s="7">
        <f t="shared" si="10"/>
        <v>0.7000026166365754</v>
      </c>
      <c r="H80" s="14">
        <v>143150</v>
      </c>
      <c r="I80" s="15">
        <f t="shared" si="11"/>
        <v>93631.65</v>
      </c>
      <c r="J80" s="15">
        <f t="shared" si="12"/>
        <v>114520</v>
      </c>
      <c r="K80" s="85">
        <f t="shared" si="13"/>
        <v>0</v>
      </c>
      <c r="L80" s="79">
        <v>93631.65</v>
      </c>
      <c r="M80" s="86">
        <f>ROUND(VLOOKUP(B80,גיליון1!A66:B1036,2,0),0)</f>
        <v>143147</v>
      </c>
      <c r="N80" s="108"/>
    </row>
    <row r="81" spans="1:14" ht="15.75">
      <c r="A81">
        <v>77</v>
      </c>
      <c r="B81" s="19">
        <v>580109064</v>
      </c>
      <c r="C81" s="19" t="s">
        <v>73</v>
      </c>
      <c r="D81" s="19" t="s">
        <v>70</v>
      </c>
      <c r="E81" s="6">
        <v>6995</v>
      </c>
      <c r="F81" s="6">
        <v>3547</v>
      </c>
      <c r="G81" s="7">
        <f t="shared" si="10"/>
        <v>0.5070764832022874</v>
      </c>
      <c r="H81" s="14">
        <v>7127</v>
      </c>
      <c r="I81" s="15">
        <f t="shared" si="11"/>
        <v>4896.5</v>
      </c>
      <c r="J81" s="15">
        <f t="shared" si="12"/>
        <v>5701.6</v>
      </c>
      <c r="K81" s="85">
        <f t="shared" si="13"/>
        <v>4897</v>
      </c>
      <c r="L81" s="79">
        <v>3547</v>
      </c>
      <c r="M81" s="86">
        <f>ROUND(VLOOKUP(B81,גיליון1!A67:B1037,2,0),0)</f>
        <v>7127</v>
      </c>
      <c r="N81" s="108"/>
    </row>
    <row r="82" spans="1:14" ht="15.75">
      <c r="A82" s="3">
        <v>78</v>
      </c>
      <c r="B82" s="13">
        <v>580111052</v>
      </c>
      <c r="C82" s="13" t="s">
        <v>74</v>
      </c>
      <c r="D82" s="13" t="s">
        <v>64</v>
      </c>
      <c r="E82" s="6">
        <v>53819</v>
      </c>
      <c r="F82" s="6">
        <v>16844</v>
      </c>
      <c r="G82" s="7">
        <f t="shared" si="10"/>
        <v>0.3129749716642821</v>
      </c>
      <c r="H82" s="14">
        <v>16843</v>
      </c>
      <c r="I82" s="15">
        <f t="shared" si="11"/>
        <v>37673.299999999996</v>
      </c>
      <c r="J82" s="15">
        <f t="shared" si="12"/>
        <v>13474.400000000001</v>
      </c>
      <c r="K82" s="85">
        <f t="shared" si="13"/>
        <v>0</v>
      </c>
      <c r="L82" s="79">
        <v>26909.5</v>
      </c>
      <c r="M82" s="86">
        <f>ROUND(VLOOKUP(B82,גיליון1!A68:B1038,2,0),0)</f>
        <v>16843</v>
      </c>
      <c r="N82" s="108"/>
    </row>
    <row r="83" spans="1:14" ht="15.75">
      <c r="A83">
        <v>79</v>
      </c>
      <c r="B83" s="120">
        <v>580112480</v>
      </c>
      <c r="C83" s="120" t="s">
        <v>1062</v>
      </c>
      <c r="D83" s="13"/>
      <c r="E83" s="116">
        <v>2488314</v>
      </c>
      <c r="F83" s="116">
        <v>1741820</v>
      </c>
      <c r="G83" s="117"/>
      <c r="H83" s="118">
        <v>2488314</v>
      </c>
      <c r="I83" s="15"/>
      <c r="J83" s="15"/>
      <c r="K83" s="110"/>
      <c r="L83" s="79"/>
      <c r="M83" s="86"/>
      <c r="N83" s="108"/>
    </row>
    <row r="84" spans="1:14" ht="15.75">
      <c r="A84" s="3">
        <v>80</v>
      </c>
      <c r="B84" s="41">
        <v>580112977</v>
      </c>
      <c r="C84" s="41" t="s">
        <v>928</v>
      </c>
      <c r="D84" s="13"/>
      <c r="E84" s="116"/>
      <c r="F84" s="116"/>
      <c r="G84" s="117"/>
      <c r="H84" s="118">
        <v>13859</v>
      </c>
      <c r="I84" s="15"/>
      <c r="J84" s="15"/>
      <c r="K84" s="110"/>
      <c r="L84" s="79"/>
      <c r="M84" s="86"/>
      <c r="N84" s="108"/>
    </row>
    <row r="85" spans="1:14" ht="15.75">
      <c r="A85">
        <v>81</v>
      </c>
      <c r="B85" s="13">
        <v>580115715</v>
      </c>
      <c r="C85" s="13" t="s">
        <v>255</v>
      </c>
      <c r="D85" s="13" t="s">
        <v>70</v>
      </c>
      <c r="E85" s="6">
        <v>42099.25</v>
      </c>
      <c r="F85" s="6">
        <v>29469</v>
      </c>
      <c r="G85" s="7">
        <f aca="true" t="shared" si="14" ref="G85:G116">F85/E85</f>
        <v>0.6999887171386664</v>
      </c>
      <c r="H85" s="14">
        <v>45744</v>
      </c>
      <c r="I85" s="15">
        <f aca="true" t="shared" si="15" ref="I85:I116">E85*$I$2</f>
        <v>29469.475</v>
      </c>
      <c r="J85" s="15">
        <f aca="true" t="shared" si="16" ref="J85:J116">H85*$J$2</f>
        <v>36595.200000000004</v>
      </c>
      <c r="K85" s="85">
        <f aca="true" t="shared" si="17" ref="K85:K116">ROUND(IF(IF(MIN(I85,J85)&lt;F85,MIN(I85,J85)-F85,MIN(I85,J85))&lt;0,0,IF(MIN(I85,J85)&lt;F85,MIN(I85,J85)-F85,MIN(I85,J85))),0)</f>
        <v>29469</v>
      </c>
      <c r="L85" s="79">
        <v>29469.475</v>
      </c>
      <c r="M85" s="86">
        <f>ROUND(VLOOKUP(B85,גיליון1!A69:B1039,2,0),0)</f>
        <v>45744</v>
      </c>
      <c r="N85" s="108"/>
    </row>
    <row r="86" spans="1:14" ht="15.75">
      <c r="A86" s="3">
        <v>82</v>
      </c>
      <c r="B86" s="12">
        <v>580115814</v>
      </c>
      <c r="C86" s="12" t="s">
        <v>618</v>
      </c>
      <c r="D86" s="13" t="s">
        <v>59</v>
      </c>
      <c r="E86" s="6">
        <v>244682</v>
      </c>
      <c r="F86" s="6">
        <v>171277.4</v>
      </c>
      <c r="G86" s="7">
        <f t="shared" si="14"/>
        <v>0.7</v>
      </c>
      <c r="H86" s="14">
        <v>231650</v>
      </c>
      <c r="I86" s="15">
        <f t="shared" si="15"/>
        <v>171277.4</v>
      </c>
      <c r="J86" s="15">
        <f t="shared" si="16"/>
        <v>185320</v>
      </c>
      <c r="K86" s="85">
        <f t="shared" si="17"/>
        <v>171277</v>
      </c>
      <c r="L86" s="79">
        <v>171277.4</v>
      </c>
      <c r="M86" s="86">
        <f>ROUND(VLOOKUP(B86,גיליון1!A70:B1040,2,0),0)</f>
        <v>231650</v>
      </c>
      <c r="N86" s="108"/>
    </row>
    <row r="87" spans="1:14" ht="15.75">
      <c r="A87">
        <v>83</v>
      </c>
      <c r="B87" s="12">
        <v>580120012</v>
      </c>
      <c r="C87" s="13" t="s">
        <v>75</v>
      </c>
      <c r="D87" s="17" t="s">
        <v>59</v>
      </c>
      <c r="E87" s="6">
        <v>55242.5</v>
      </c>
      <c r="F87" s="6">
        <v>27621</v>
      </c>
      <c r="G87" s="7">
        <f t="shared" si="14"/>
        <v>0.4999954744988007</v>
      </c>
      <c r="H87" s="14">
        <v>65463</v>
      </c>
      <c r="I87" s="15">
        <f t="shared" si="15"/>
        <v>38669.75</v>
      </c>
      <c r="J87" s="15">
        <f t="shared" si="16"/>
        <v>52370.4</v>
      </c>
      <c r="K87" s="85">
        <f t="shared" si="17"/>
        <v>38670</v>
      </c>
      <c r="L87" s="79">
        <v>27621.25</v>
      </c>
      <c r="M87" s="86">
        <f>ROUND(VLOOKUP(B87,גיליון1!A71:B1041,2,0),0)</f>
        <v>65463</v>
      </c>
      <c r="N87" s="108"/>
    </row>
    <row r="88" spans="1:14" ht="15.75">
      <c r="A88" s="3">
        <v>84</v>
      </c>
      <c r="B88" s="12">
        <v>580120418</v>
      </c>
      <c r="C88" s="13" t="s">
        <v>76</v>
      </c>
      <c r="D88" s="13" t="s">
        <v>56</v>
      </c>
      <c r="E88" s="6">
        <v>230670</v>
      </c>
      <c r="F88" s="6">
        <v>161469</v>
      </c>
      <c r="G88" s="7">
        <f t="shared" si="14"/>
        <v>0.7</v>
      </c>
      <c r="H88" s="14">
        <v>244425</v>
      </c>
      <c r="I88" s="15">
        <f t="shared" si="15"/>
        <v>161469</v>
      </c>
      <c r="J88" s="15">
        <f t="shared" si="16"/>
        <v>195540</v>
      </c>
      <c r="K88" s="85">
        <f t="shared" si="17"/>
        <v>161469</v>
      </c>
      <c r="L88" s="79">
        <v>161469</v>
      </c>
      <c r="M88" s="86">
        <f>ROUND(VLOOKUP(B88,גיליון1!A72:B1042,2,0),0)</f>
        <v>244424</v>
      </c>
      <c r="N88" s="108"/>
    </row>
    <row r="89" spans="1:14" ht="15.75">
      <c r="A89">
        <v>85</v>
      </c>
      <c r="B89" s="12">
        <v>580120855</v>
      </c>
      <c r="C89" s="13" t="s">
        <v>77</v>
      </c>
      <c r="D89" s="13" t="s">
        <v>56</v>
      </c>
      <c r="E89" s="6">
        <v>140160.5</v>
      </c>
      <c r="F89" s="6">
        <v>98112</v>
      </c>
      <c r="G89" s="7">
        <f t="shared" si="14"/>
        <v>0.6999975028627895</v>
      </c>
      <c r="H89" s="14">
        <v>140185</v>
      </c>
      <c r="I89" s="15">
        <f t="shared" si="15"/>
        <v>98112.34999999999</v>
      </c>
      <c r="J89" s="15">
        <f t="shared" si="16"/>
        <v>112148</v>
      </c>
      <c r="K89" s="85">
        <f t="shared" si="17"/>
        <v>98112</v>
      </c>
      <c r="L89" s="79">
        <v>98112.35</v>
      </c>
      <c r="M89" s="86">
        <f>ROUND(VLOOKUP(B89,גיליון1!A73:B1043,2,0),0)</f>
        <v>140181</v>
      </c>
      <c r="N89" s="108"/>
    </row>
    <row r="90" spans="1:14" ht="15.75">
      <c r="A90" s="3">
        <v>86</v>
      </c>
      <c r="B90" s="12">
        <v>580122570</v>
      </c>
      <c r="C90" s="13" t="s">
        <v>78</v>
      </c>
      <c r="D90" s="17" t="s">
        <v>59</v>
      </c>
      <c r="E90" s="6">
        <v>64420</v>
      </c>
      <c r="F90" s="6">
        <v>32210</v>
      </c>
      <c r="G90" s="7">
        <f t="shared" si="14"/>
        <v>0.5</v>
      </c>
      <c r="H90" s="14">
        <v>97123</v>
      </c>
      <c r="I90" s="15">
        <f t="shared" si="15"/>
        <v>45094</v>
      </c>
      <c r="J90" s="15">
        <f t="shared" si="16"/>
        <v>77698.40000000001</v>
      </c>
      <c r="K90" s="85">
        <f t="shared" si="17"/>
        <v>45094</v>
      </c>
      <c r="L90" s="79">
        <v>32210</v>
      </c>
      <c r="M90" s="86">
        <f>ROUND(VLOOKUP(B90,גיליון1!A74:B1044,2,0),0)</f>
        <v>97123</v>
      </c>
      <c r="N90" s="108"/>
    </row>
    <row r="91" spans="1:14" ht="15.75">
      <c r="A91">
        <v>87</v>
      </c>
      <c r="B91" s="12">
        <v>580125383</v>
      </c>
      <c r="C91" s="13" t="s">
        <v>494</v>
      </c>
      <c r="D91" s="17" t="s">
        <v>59</v>
      </c>
      <c r="E91" s="6">
        <v>80285.5</v>
      </c>
      <c r="F91" s="6">
        <v>56200</v>
      </c>
      <c r="G91" s="7">
        <f t="shared" si="14"/>
        <v>0.7000018683323888</v>
      </c>
      <c r="H91" s="14">
        <v>94399</v>
      </c>
      <c r="I91" s="15">
        <f t="shared" si="15"/>
        <v>56199.85</v>
      </c>
      <c r="J91" s="15">
        <f t="shared" si="16"/>
        <v>75519.2</v>
      </c>
      <c r="K91" s="85">
        <f t="shared" si="17"/>
        <v>0</v>
      </c>
      <c r="L91" s="79">
        <v>56199.85</v>
      </c>
      <c r="M91" s="86">
        <f>ROUND(VLOOKUP(B91,גיליון1!A75:B1045,2,0),0)</f>
        <v>94399</v>
      </c>
      <c r="N91" s="108"/>
    </row>
    <row r="92" spans="1:14" ht="15.75">
      <c r="A92" s="3">
        <v>88</v>
      </c>
      <c r="B92" s="37">
        <v>580128262</v>
      </c>
      <c r="C92" s="13" t="s">
        <v>325</v>
      </c>
      <c r="D92" s="17" t="s">
        <v>59</v>
      </c>
      <c r="E92" s="6">
        <v>182428.75</v>
      </c>
      <c r="F92" s="6">
        <v>127700</v>
      </c>
      <c r="G92" s="7">
        <f t="shared" si="14"/>
        <v>0.699999314800984</v>
      </c>
      <c r="H92" s="14">
        <v>170631</v>
      </c>
      <c r="I92" s="15">
        <f t="shared" si="15"/>
        <v>127700.12499999999</v>
      </c>
      <c r="J92" s="15">
        <f t="shared" si="16"/>
        <v>136504.80000000002</v>
      </c>
      <c r="K92" s="85">
        <f t="shared" si="17"/>
        <v>127700</v>
      </c>
      <c r="L92" s="79">
        <v>127700.12499999999</v>
      </c>
      <c r="M92" s="86">
        <f>ROUND(VLOOKUP(B92,גיליון1!A76:B1046,2,0),0)</f>
        <v>170628</v>
      </c>
      <c r="N92" s="108"/>
    </row>
    <row r="93" spans="1:14" ht="15.75">
      <c r="A93">
        <v>89</v>
      </c>
      <c r="B93" s="37">
        <v>580143634</v>
      </c>
      <c r="C93" s="13" t="s">
        <v>582</v>
      </c>
      <c r="D93" s="17" t="s">
        <v>59</v>
      </c>
      <c r="E93" s="6">
        <v>279814</v>
      </c>
      <c r="F93" s="6">
        <v>195870</v>
      </c>
      <c r="G93" s="7">
        <f t="shared" si="14"/>
        <v>0.7000007147605195</v>
      </c>
      <c r="H93" s="14">
        <v>456963</v>
      </c>
      <c r="I93" s="15">
        <f t="shared" si="15"/>
        <v>195869.8</v>
      </c>
      <c r="J93" s="15">
        <f t="shared" si="16"/>
        <v>365570.4</v>
      </c>
      <c r="K93" s="85">
        <f t="shared" si="17"/>
        <v>0</v>
      </c>
      <c r="L93" s="79">
        <v>119073.49999999999</v>
      </c>
      <c r="M93" s="86">
        <f>ROUND(VLOOKUP(B93,גיליון1!A77:B1047,2,0),0)</f>
        <v>456961</v>
      </c>
      <c r="N93" s="108"/>
    </row>
    <row r="94" spans="1:14" ht="15.75">
      <c r="A94" s="3">
        <v>90</v>
      </c>
      <c r="B94" s="12">
        <v>580145563</v>
      </c>
      <c r="C94" s="13" t="s">
        <v>79</v>
      </c>
      <c r="D94" s="17" t="s">
        <v>59</v>
      </c>
      <c r="E94" s="6">
        <v>9260</v>
      </c>
      <c r="F94" s="6">
        <v>6482</v>
      </c>
      <c r="G94" s="7">
        <f t="shared" si="14"/>
        <v>0.7</v>
      </c>
      <c r="H94" s="14">
        <v>11661</v>
      </c>
      <c r="I94" s="15">
        <f t="shared" si="15"/>
        <v>6482</v>
      </c>
      <c r="J94" s="15">
        <f t="shared" si="16"/>
        <v>9328.800000000001</v>
      </c>
      <c r="K94" s="85">
        <f t="shared" si="17"/>
        <v>6482</v>
      </c>
      <c r="L94" s="79">
        <v>6482</v>
      </c>
      <c r="M94" s="86">
        <f>ROUND(VLOOKUP(B94,גיליון1!A78:B1048,2,0),0)</f>
        <v>11661</v>
      </c>
      <c r="N94" s="108"/>
    </row>
    <row r="95" spans="1:14" ht="15.75">
      <c r="A95">
        <v>91</v>
      </c>
      <c r="B95" s="12">
        <v>580156511</v>
      </c>
      <c r="C95" s="12" t="s">
        <v>619</v>
      </c>
      <c r="D95" s="13" t="s">
        <v>59</v>
      </c>
      <c r="E95" s="6">
        <v>38449</v>
      </c>
      <c r="F95" s="6">
        <v>26914</v>
      </c>
      <c r="G95" s="7">
        <f t="shared" si="14"/>
        <v>0.6999921974563708</v>
      </c>
      <c r="H95" s="14">
        <v>43991</v>
      </c>
      <c r="I95" s="15">
        <f t="shared" si="15"/>
        <v>26914.3</v>
      </c>
      <c r="J95" s="15">
        <f t="shared" si="16"/>
        <v>35192.8</v>
      </c>
      <c r="K95" s="85">
        <f t="shared" si="17"/>
        <v>26914</v>
      </c>
      <c r="L95" s="79">
        <v>26914.3</v>
      </c>
      <c r="M95" s="86">
        <f>ROUND(VLOOKUP(B95,גיליון1!A79:B1049,2,0),0)</f>
        <v>43991</v>
      </c>
      <c r="N95" s="108"/>
    </row>
    <row r="96" spans="1:14" ht="15">
      <c r="A96" s="3">
        <v>92</v>
      </c>
      <c r="B96" s="17">
        <v>580156552</v>
      </c>
      <c r="C96" s="17" t="s">
        <v>80</v>
      </c>
      <c r="D96" s="17" t="s">
        <v>64</v>
      </c>
      <c r="E96" s="6">
        <v>6855.25</v>
      </c>
      <c r="F96" s="6">
        <v>3621</v>
      </c>
      <c r="G96" s="7">
        <f t="shared" si="14"/>
        <v>0.5282083075015499</v>
      </c>
      <c r="H96" s="14">
        <v>4527</v>
      </c>
      <c r="I96" s="15">
        <f t="shared" si="15"/>
        <v>4798.674999999999</v>
      </c>
      <c r="J96" s="15">
        <f t="shared" si="16"/>
        <v>3621.6000000000004</v>
      </c>
      <c r="K96" s="85">
        <f t="shared" si="17"/>
        <v>3622</v>
      </c>
      <c r="L96" s="79">
        <v>3621.456</v>
      </c>
      <c r="M96" s="86">
        <f>ROUND(VLOOKUP(B96,גיליון1!A80:B1050,2,0),0)</f>
        <v>4505</v>
      </c>
      <c r="N96" s="108"/>
    </row>
    <row r="97" spans="1:14" ht="15">
      <c r="A97">
        <v>93</v>
      </c>
      <c r="B97" s="18">
        <v>580159051</v>
      </c>
      <c r="C97" s="4" t="s">
        <v>757</v>
      </c>
      <c r="D97" s="4" t="s">
        <v>68</v>
      </c>
      <c r="E97" s="6">
        <v>2610.75</v>
      </c>
      <c r="F97" s="6">
        <v>1305</v>
      </c>
      <c r="G97" s="7">
        <f t="shared" si="14"/>
        <v>0.4998563631140477</v>
      </c>
      <c r="H97" s="14">
        <v>2040</v>
      </c>
      <c r="I97" s="15">
        <f t="shared" si="15"/>
        <v>1827.5249999999999</v>
      </c>
      <c r="J97" s="15">
        <f t="shared" si="16"/>
        <v>1632</v>
      </c>
      <c r="K97" s="85">
        <f t="shared" si="17"/>
        <v>1632</v>
      </c>
      <c r="L97" s="79">
        <v>1305.375</v>
      </c>
      <c r="M97" s="86">
        <f>ROUND(VLOOKUP(B97,גיליון1!A81:B1051,2,0),0)</f>
        <v>2040</v>
      </c>
      <c r="N97" s="108"/>
    </row>
    <row r="98" spans="1:14" ht="15.75">
      <c r="A98" s="3">
        <v>94</v>
      </c>
      <c r="B98" s="12">
        <v>580160133</v>
      </c>
      <c r="C98" s="13" t="s">
        <v>81</v>
      </c>
      <c r="D98" s="13" t="s">
        <v>56</v>
      </c>
      <c r="E98" s="6">
        <v>379754.5</v>
      </c>
      <c r="F98" s="6">
        <v>265828</v>
      </c>
      <c r="G98" s="7">
        <f t="shared" si="14"/>
        <v>0.6999996050079722</v>
      </c>
      <c r="H98" s="14">
        <v>395217</v>
      </c>
      <c r="I98" s="15">
        <f t="shared" si="15"/>
        <v>265828.14999999997</v>
      </c>
      <c r="J98" s="15">
        <f t="shared" si="16"/>
        <v>316173.60000000003</v>
      </c>
      <c r="K98" s="85">
        <f t="shared" si="17"/>
        <v>265828</v>
      </c>
      <c r="L98" s="79">
        <v>265828.14999999997</v>
      </c>
      <c r="M98" s="86">
        <f>ROUND(VLOOKUP(B98,גיליון1!A82:B1052,2,0),0)</f>
        <v>395209</v>
      </c>
      <c r="N98" s="108"/>
    </row>
    <row r="99" spans="1:14" ht="15.75">
      <c r="A99">
        <v>95</v>
      </c>
      <c r="B99" s="13">
        <v>580161032</v>
      </c>
      <c r="C99" s="13" t="s">
        <v>326</v>
      </c>
      <c r="D99" s="13" t="s">
        <v>70</v>
      </c>
      <c r="E99" s="6">
        <v>214499.25</v>
      </c>
      <c r="F99" s="6">
        <v>107250</v>
      </c>
      <c r="G99" s="7">
        <f t="shared" si="14"/>
        <v>0.500001748257861</v>
      </c>
      <c r="H99" s="14">
        <v>196168</v>
      </c>
      <c r="I99" s="15">
        <f t="shared" si="15"/>
        <v>150149.47499999998</v>
      </c>
      <c r="J99" s="15">
        <f t="shared" si="16"/>
        <v>156934.4</v>
      </c>
      <c r="K99" s="85">
        <f t="shared" si="17"/>
        <v>150149</v>
      </c>
      <c r="L99" s="79">
        <v>107249.625</v>
      </c>
      <c r="M99" s="86">
        <f>ROUND(VLOOKUP(B99,גיליון1!A84:B1054,2,0),0)</f>
        <v>196164</v>
      </c>
      <c r="N99" s="108"/>
    </row>
    <row r="100" spans="1:14" ht="15">
      <c r="A100" s="3">
        <v>96</v>
      </c>
      <c r="B100" s="31">
        <v>580164499</v>
      </c>
      <c r="C100" s="4" t="s">
        <v>426</v>
      </c>
      <c r="D100" s="4" t="s">
        <v>68</v>
      </c>
      <c r="E100" s="6">
        <v>19085</v>
      </c>
      <c r="F100" s="6">
        <v>13360</v>
      </c>
      <c r="G100" s="7">
        <f t="shared" si="14"/>
        <v>0.7000261985852764</v>
      </c>
      <c r="H100" s="14">
        <v>21220</v>
      </c>
      <c r="I100" s="15">
        <f t="shared" si="15"/>
        <v>13359.5</v>
      </c>
      <c r="J100" s="15">
        <f t="shared" si="16"/>
        <v>16976</v>
      </c>
      <c r="K100" s="85">
        <f t="shared" si="17"/>
        <v>0</v>
      </c>
      <c r="L100" s="79">
        <v>11451</v>
      </c>
      <c r="M100" s="86">
        <f>ROUND(VLOOKUP(B100,גיליון1!A85:B1055,2,0),0)</f>
        <v>21220</v>
      </c>
      <c r="N100" s="108"/>
    </row>
    <row r="101" spans="1:14" ht="15.75">
      <c r="A101">
        <v>97</v>
      </c>
      <c r="B101" s="12">
        <v>580167831</v>
      </c>
      <c r="C101" s="42" t="s">
        <v>496</v>
      </c>
      <c r="D101" s="42" t="s">
        <v>68</v>
      </c>
      <c r="E101" s="6">
        <v>1483.25</v>
      </c>
      <c r="F101" s="6">
        <v>742</v>
      </c>
      <c r="G101" s="7">
        <f t="shared" si="14"/>
        <v>0.5002528231923141</v>
      </c>
      <c r="H101" s="14">
        <v>1388</v>
      </c>
      <c r="I101" s="15">
        <f t="shared" si="15"/>
        <v>1038.2749999999999</v>
      </c>
      <c r="J101" s="15">
        <f t="shared" si="16"/>
        <v>1110.4</v>
      </c>
      <c r="K101" s="85">
        <f t="shared" si="17"/>
        <v>1038</v>
      </c>
      <c r="L101" s="79">
        <v>741.625</v>
      </c>
      <c r="M101" s="86">
        <f>ROUND(VLOOKUP(B101,גיליון1!A86:B1056,2,0),0)</f>
        <v>1388</v>
      </c>
      <c r="N101" s="108"/>
    </row>
    <row r="102" spans="1:14" ht="15.75">
      <c r="A102" s="3">
        <v>98</v>
      </c>
      <c r="B102" s="12">
        <v>580170074</v>
      </c>
      <c r="C102" s="13" t="s">
        <v>556</v>
      </c>
      <c r="D102" s="17" t="s">
        <v>59</v>
      </c>
      <c r="E102" s="6">
        <v>22327.25</v>
      </c>
      <c r="F102" s="6">
        <v>11164</v>
      </c>
      <c r="G102" s="7">
        <f t="shared" si="14"/>
        <v>0.5000167956197024</v>
      </c>
      <c r="H102" s="14">
        <v>21456</v>
      </c>
      <c r="I102" s="15">
        <f t="shared" si="15"/>
        <v>15629.074999999999</v>
      </c>
      <c r="J102" s="15">
        <f t="shared" si="16"/>
        <v>17164.8</v>
      </c>
      <c r="K102" s="85">
        <f t="shared" si="17"/>
        <v>15629</v>
      </c>
      <c r="L102" s="79">
        <v>11163.625</v>
      </c>
      <c r="M102" s="86">
        <f>ROUND(VLOOKUP(B102,גיליון1!A87:B1057,2,0),0)</f>
        <v>21456</v>
      </c>
      <c r="N102" s="108"/>
    </row>
    <row r="103" spans="1:14" ht="15.75">
      <c r="A103">
        <v>99</v>
      </c>
      <c r="B103" s="12">
        <v>580171064</v>
      </c>
      <c r="C103" s="13" t="s">
        <v>583</v>
      </c>
      <c r="D103" s="13" t="s">
        <v>56</v>
      </c>
      <c r="E103" s="6">
        <v>50823</v>
      </c>
      <c r="F103" s="6">
        <v>35576.1</v>
      </c>
      <c r="G103" s="7">
        <f t="shared" si="14"/>
        <v>0.7</v>
      </c>
      <c r="H103" s="14">
        <v>55471</v>
      </c>
      <c r="I103" s="15">
        <f t="shared" si="15"/>
        <v>35576.1</v>
      </c>
      <c r="J103" s="15">
        <f t="shared" si="16"/>
        <v>44376.8</v>
      </c>
      <c r="K103" s="85">
        <f t="shared" si="17"/>
        <v>35576</v>
      </c>
      <c r="L103" s="79">
        <v>35576.1</v>
      </c>
      <c r="M103" s="86">
        <f>ROUND(VLOOKUP(B103,גיליון1!A89:B1059,2,0),0)</f>
        <v>55470</v>
      </c>
      <c r="N103" s="108"/>
    </row>
    <row r="104" spans="1:14" ht="15.75">
      <c r="A104" s="3">
        <v>100</v>
      </c>
      <c r="B104" s="12">
        <v>580171353</v>
      </c>
      <c r="C104" s="13" t="s">
        <v>82</v>
      </c>
      <c r="D104" s="17" t="s">
        <v>59</v>
      </c>
      <c r="E104" s="6">
        <v>96875.25</v>
      </c>
      <c r="F104" s="6">
        <v>48438</v>
      </c>
      <c r="G104" s="7">
        <f t="shared" si="14"/>
        <v>0.5000038709577523</v>
      </c>
      <c r="H104" s="14">
        <v>142430</v>
      </c>
      <c r="I104" s="15">
        <f t="shared" si="15"/>
        <v>67812.675</v>
      </c>
      <c r="J104" s="15">
        <f t="shared" si="16"/>
        <v>113944</v>
      </c>
      <c r="K104" s="85">
        <f t="shared" si="17"/>
        <v>67813</v>
      </c>
      <c r="L104" s="79">
        <v>48437.625</v>
      </c>
      <c r="M104" s="86">
        <f>ROUND(VLOOKUP(B104,גיליון1!A90:B1060,2,0),0)</f>
        <v>142431</v>
      </c>
      <c r="N104" s="108"/>
    </row>
    <row r="105" spans="1:14" ht="15.75">
      <c r="A105">
        <v>101</v>
      </c>
      <c r="B105" s="12">
        <v>580173425</v>
      </c>
      <c r="C105" s="13" t="s">
        <v>256</v>
      </c>
      <c r="D105" s="13" t="s">
        <v>56</v>
      </c>
      <c r="E105" s="6">
        <v>87788.25</v>
      </c>
      <c r="F105" s="6">
        <v>55948</v>
      </c>
      <c r="G105" s="7">
        <f t="shared" si="14"/>
        <v>0.6373062454257831</v>
      </c>
      <c r="H105" s="14">
        <v>69935</v>
      </c>
      <c r="I105" s="15">
        <f t="shared" si="15"/>
        <v>61451.774999999994</v>
      </c>
      <c r="J105" s="15">
        <f t="shared" si="16"/>
        <v>55948</v>
      </c>
      <c r="K105" s="85">
        <f t="shared" si="17"/>
        <v>55948</v>
      </c>
      <c r="L105" s="79">
        <v>55948</v>
      </c>
      <c r="M105" s="86">
        <f>ROUND(VLOOKUP(B105,גיליון1!A91:B1061,2,0),0)</f>
        <v>69933</v>
      </c>
      <c r="N105" s="108"/>
    </row>
    <row r="106" spans="1:14" ht="15">
      <c r="A106" s="3">
        <v>102</v>
      </c>
      <c r="B106" s="18">
        <v>580173441</v>
      </c>
      <c r="C106" s="4" t="s">
        <v>83</v>
      </c>
      <c r="D106" s="4" t="s">
        <v>68</v>
      </c>
      <c r="E106" s="6">
        <v>2338.5</v>
      </c>
      <c r="F106" s="6">
        <v>1169</v>
      </c>
      <c r="G106" s="7">
        <f t="shared" si="14"/>
        <v>0.49989309386358777</v>
      </c>
      <c r="H106" s="14">
        <v>1400</v>
      </c>
      <c r="I106" s="15">
        <f t="shared" si="15"/>
        <v>1636.9499999999998</v>
      </c>
      <c r="J106" s="15">
        <f t="shared" si="16"/>
        <v>1120</v>
      </c>
      <c r="K106" s="85">
        <f t="shared" si="17"/>
        <v>0</v>
      </c>
      <c r="L106" s="79">
        <v>1169.25</v>
      </c>
      <c r="M106" s="86">
        <f>ROUND(VLOOKUP(B106,גיליון1!A92:B1062,2,0),0)</f>
        <v>1400</v>
      </c>
      <c r="N106" s="108"/>
    </row>
    <row r="107" spans="1:14" ht="15.75">
      <c r="A107">
        <v>103</v>
      </c>
      <c r="B107" s="12">
        <v>580174738</v>
      </c>
      <c r="C107" s="13" t="s">
        <v>84</v>
      </c>
      <c r="D107" s="17" t="s">
        <v>59</v>
      </c>
      <c r="E107" s="6">
        <v>33019.25</v>
      </c>
      <c r="F107" s="6">
        <v>23113</v>
      </c>
      <c r="G107" s="7">
        <f t="shared" si="14"/>
        <v>0.6999856144521757</v>
      </c>
      <c r="H107" s="14">
        <v>32482</v>
      </c>
      <c r="I107" s="15">
        <f t="shared" si="15"/>
        <v>23113.475</v>
      </c>
      <c r="J107" s="15">
        <f t="shared" si="16"/>
        <v>25985.600000000002</v>
      </c>
      <c r="K107" s="85">
        <f t="shared" si="17"/>
        <v>23113</v>
      </c>
      <c r="L107" s="79">
        <v>23113.475</v>
      </c>
      <c r="M107" s="86">
        <f>ROUND(VLOOKUP(B107,גיליון1!A93:B1063,2,0),0)</f>
        <v>32482</v>
      </c>
      <c r="N107" s="108"/>
    </row>
    <row r="108" spans="1:14" ht="15">
      <c r="A108" s="3">
        <v>104</v>
      </c>
      <c r="B108" s="41">
        <v>580179273</v>
      </c>
      <c r="C108" s="42" t="s">
        <v>327</v>
      </c>
      <c r="D108" s="42" t="s">
        <v>68</v>
      </c>
      <c r="E108" s="6">
        <v>2338.5</v>
      </c>
      <c r="F108" s="6">
        <v>1636.9499999999998</v>
      </c>
      <c r="G108" s="7">
        <f t="shared" si="14"/>
        <v>0.7</v>
      </c>
      <c r="H108" s="14">
        <v>2431</v>
      </c>
      <c r="I108" s="15">
        <f t="shared" si="15"/>
        <v>1636.9499999999998</v>
      </c>
      <c r="J108" s="15">
        <f t="shared" si="16"/>
        <v>1944.8000000000002</v>
      </c>
      <c r="K108" s="85">
        <f t="shared" si="17"/>
        <v>1637</v>
      </c>
      <c r="L108" s="79">
        <v>1636.9499999999998</v>
      </c>
      <c r="M108" s="86">
        <f>ROUND(VLOOKUP(B108,גיליון1!A94:B1064,2,0),0)</f>
        <v>2431</v>
      </c>
      <c r="N108" s="108"/>
    </row>
    <row r="109" spans="1:14" ht="15.75">
      <c r="A109">
        <v>105</v>
      </c>
      <c r="B109" s="13">
        <v>580180438</v>
      </c>
      <c r="C109" s="13" t="s">
        <v>427</v>
      </c>
      <c r="D109" s="13" t="s">
        <v>64</v>
      </c>
      <c r="E109" s="6">
        <v>44993.5</v>
      </c>
      <c r="F109" s="6">
        <v>31495</v>
      </c>
      <c r="G109" s="7">
        <f t="shared" si="14"/>
        <v>0.6999899985553469</v>
      </c>
      <c r="H109" s="14">
        <v>41242</v>
      </c>
      <c r="I109" s="15">
        <f t="shared" si="15"/>
        <v>31495.449999999997</v>
      </c>
      <c r="J109" s="15">
        <f t="shared" si="16"/>
        <v>32993.6</v>
      </c>
      <c r="K109" s="85">
        <f t="shared" si="17"/>
        <v>31495</v>
      </c>
      <c r="L109" s="79">
        <v>31495.449999999997</v>
      </c>
      <c r="M109" s="86">
        <f>ROUND(VLOOKUP(B109,גיליון1!A95:B1065,2,0),0)</f>
        <v>41242</v>
      </c>
      <c r="N109" s="108"/>
    </row>
    <row r="110" spans="1:14" ht="15.75">
      <c r="A110" s="3">
        <v>106</v>
      </c>
      <c r="B110" s="12">
        <v>580181659</v>
      </c>
      <c r="C110" s="13" t="s">
        <v>257</v>
      </c>
      <c r="D110" s="13" t="s">
        <v>56</v>
      </c>
      <c r="E110" s="6">
        <v>1268096.25</v>
      </c>
      <c r="F110" s="6">
        <v>887667</v>
      </c>
      <c r="G110" s="7">
        <f t="shared" si="14"/>
        <v>0.6999997042811222</v>
      </c>
      <c r="H110" s="14">
        <v>1342004</v>
      </c>
      <c r="I110" s="15">
        <f t="shared" si="15"/>
        <v>887667.375</v>
      </c>
      <c r="J110" s="15">
        <f t="shared" si="16"/>
        <v>1073603.2</v>
      </c>
      <c r="K110" s="85">
        <f t="shared" si="17"/>
        <v>887667</v>
      </c>
      <c r="L110" s="79">
        <v>887667.375</v>
      </c>
      <c r="M110" s="86">
        <f>ROUND(VLOOKUP(B110,גיליון1!A96:B1066,2,0),0)</f>
        <v>1341910</v>
      </c>
      <c r="N110" s="108"/>
    </row>
    <row r="111" spans="1:14" ht="15">
      <c r="A111">
        <v>107</v>
      </c>
      <c r="B111" s="41">
        <v>580183119</v>
      </c>
      <c r="C111" s="42" t="s">
        <v>328</v>
      </c>
      <c r="D111" s="42" t="s">
        <v>68</v>
      </c>
      <c r="E111" s="6">
        <v>6907</v>
      </c>
      <c r="F111" s="6">
        <v>4357</v>
      </c>
      <c r="G111" s="7">
        <f t="shared" si="14"/>
        <v>0.6308093238743304</v>
      </c>
      <c r="H111" s="14">
        <v>5446</v>
      </c>
      <c r="I111" s="15">
        <f t="shared" si="15"/>
        <v>4834.9</v>
      </c>
      <c r="J111" s="15">
        <f t="shared" si="16"/>
        <v>4356.8</v>
      </c>
      <c r="K111" s="85">
        <f t="shared" si="17"/>
        <v>0</v>
      </c>
      <c r="L111" s="79">
        <v>4356.96</v>
      </c>
      <c r="M111" s="86">
        <f>ROUND(VLOOKUP(B111,גיליון1!A97:B1067,2,0),0)</f>
        <v>5446</v>
      </c>
      <c r="N111" s="108"/>
    </row>
    <row r="112" spans="1:14" ht="15.75">
      <c r="A112" s="3">
        <v>108</v>
      </c>
      <c r="B112" s="37">
        <v>580184828</v>
      </c>
      <c r="C112" s="13" t="s">
        <v>258</v>
      </c>
      <c r="D112" s="17" t="s">
        <v>59</v>
      </c>
      <c r="E112" s="6">
        <v>123496.75</v>
      </c>
      <c r="F112" s="6">
        <v>86448</v>
      </c>
      <c r="G112" s="7">
        <f t="shared" si="14"/>
        <v>0.7000022267792472</v>
      </c>
      <c r="H112" s="14">
        <v>198798</v>
      </c>
      <c r="I112" s="15">
        <f t="shared" si="15"/>
        <v>86447.72499999999</v>
      </c>
      <c r="J112" s="15">
        <f t="shared" si="16"/>
        <v>159038.40000000002</v>
      </c>
      <c r="K112" s="85">
        <f t="shared" si="17"/>
        <v>0</v>
      </c>
      <c r="L112" s="79">
        <v>86447.72499999999</v>
      </c>
      <c r="M112" s="86">
        <f>ROUND(VLOOKUP(B112,גיליון1!A98:B1068,2,0),0)</f>
        <v>198796</v>
      </c>
      <c r="N112" s="108"/>
    </row>
    <row r="113" spans="1:14" ht="15.75">
      <c r="A113">
        <v>109</v>
      </c>
      <c r="B113" s="12">
        <v>580188480</v>
      </c>
      <c r="C113" s="13" t="s">
        <v>85</v>
      </c>
      <c r="D113" s="13" t="s">
        <v>56</v>
      </c>
      <c r="E113" s="6">
        <f>271298.75+193530</f>
        <v>464828.75</v>
      </c>
      <c r="F113" s="6">
        <v>189909</v>
      </c>
      <c r="G113" s="7">
        <f t="shared" si="14"/>
        <v>0.4085569147777542</v>
      </c>
      <c r="H113" s="14">
        <f>284408+277939</f>
        <v>562347</v>
      </c>
      <c r="I113" s="15">
        <f t="shared" si="15"/>
        <v>325380.125</v>
      </c>
      <c r="J113" s="15">
        <f t="shared" si="16"/>
        <v>449877.60000000003</v>
      </c>
      <c r="K113" s="85">
        <f t="shared" si="17"/>
        <v>325380</v>
      </c>
      <c r="L113" s="79">
        <v>189909.125</v>
      </c>
      <c r="M113" s="86">
        <f>ROUND(VLOOKUP(B113,גיליון1!A99:B1069,2,0),0)</f>
        <v>284408</v>
      </c>
      <c r="N113" s="108"/>
    </row>
    <row r="114" spans="1:14" ht="15.75">
      <c r="A114" s="3">
        <v>110</v>
      </c>
      <c r="B114" s="12">
        <v>580190775</v>
      </c>
      <c r="C114" s="13" t="s">
        <v>86</v>
      </c>
      <c r="D114" s="13" t="s">
        <v>56</v>
      </c>
      <c r="E114" s="6">
        <v>106065.5</v>
      </c>
      <c r="F114" s="6">
        <v>74246</v>
      </c>
      <c r="G114" s="7">
        <f t="shared" si="14"/>
        <v>0.7000014142204581</v>
      </c>
      <c r="H114" s="14">
        <v>142102</v>
      </c>
      <c r="I114" s="15">
        <f t="shared" si="15"/>
        <v>74245.84999999999</v>
      </c>
      <c r="J114" s="15">
        <f t="shared" si="16"/>
        <v>113681.6</v>
      </c>
      <c r="K114" s="85">
        <f t="shared" si="17"/>
        <v>0</v>
      </c>
      <c r="L114" s="79">
        <v>74245.84999999999</v>
      </c>
      <c r="M114" s="86">
        <f>ROUND(VLOOKUP(B114,גיליון1!A100:B1070,2,0),0)</f>
        <v>142099</v>
      </c>
      <c r="N114" s="108"/>
    </row>
    <row r="115" spans="1:14" ht="15.75">
      <c r="A115">
        <v>111</v>
      </c>
      <c r="B115" s="12">
        <v>580192508</v>
      </c>
      <c r="C115" s="13" t="s">
        <v>87</v>
      </c>
      <c r="D115" s="17" t="s">
        <v>59</v>
      </c>
      <c r="E115" s="6">
        <v>220183.25</v>
      </c>
      <c r="F115" s="6">
        <v>154128</v>
      </c>
      <c r="G115" s="7">
        <f t="shared" si="14"/>
        <v>0.6999987510403266</v>
      </c>
      <c r="H115" s="14">
        <v>221338</v>
      </c>
      <c r="I115" s="15">
        <f t="shared" si="15"/>
        <v>154128.275</v>
      </c>
      <c r="J115" s="15">
        <f t="shared" si="16"/>
        <v>177070.40000000002</v>
      </c>
      <c r="K115" s="85">
        <f t="shared" si="17"/>
        <v>154128</v>
      </c>
      <c r="L115" s="79">
        <v>154128.275</v>
      </c>
      <c r="M115" s="86">
        <f>ROUND(VLOOKUP(B115,גיליון1!A101:B1071,2,0),0)</f>
        <v>221338</v>
      </c>
      <c r="N115" s="108"/>
    </row>
    <row r="116" spans="1:14" ht="15.75">
      <c r="A116" s="3">
        <v>112</v>
      </c>
      <c r="B116" s="12">
        <v>580193563</v>
      </c>
      <c r="C116" s="13" t="s">
        <v>498</v>
      </c>
      <c r="D116" s="17" t="s">
        <v>59</v>
      </c>
      <c r="E116" s="6">
        <v>133612</v>
      </c>
      <c r="F116" s="6">
        <v>93528</v>
      </c>
      <c r="G116" s="7">
        <f t="shared" si="14"/>
        <v>0.6999970062569231</v>
      </c>
      <c r="H116" s="14">
        <v>227117</v>
      </c>
      <c r="I116" s="15">
        <f t="shared" si="15"/>
        <v>93528.4</v>
      </c>
      <c r="J116" s="15">
        <f t="shared" si="16"/>
        <v>181693.6</v>
      </c>
      <c r="K116" s="85">
        <f t="shared" si="17"/>
        <v>93528</v>
      </c>
      <c r="L116" s="79">
        <v>93528.4</v>
      </c>
      <c r="M116" s="86">
        <f>ROUND(VLOOKUP(B116,גיליון1!A102:B1072,2,0),0)</f>
        <v>227115</v>
      </c>
      <c r="N116" s="108"/>
    </row>
    <row r="117" spans="1:14" ht="15.75">
      <c r="A117">
        <v>113</v>
      </c>
      <c r="B117" s="41">
        <v>580195626</v>
      </c>
      <c r="C117" s="42" t="s">
        <v>930</v>
      </c>
      <c r="D117" s="13"/>
      <c r="E117" s="116"/>
      <c r="F117" s="116"/>
      <c r="G117" s="117"/>
      <c r="H117" s="118">
        <v>5079</v>
      </c>
      <c r="I117" s="15"/>
      <c r="J117" s="15"/>
      <c r="K117" s="110"/>
      <c r="L117" s="79"/>
      <c r="M117" s="86"/>
      <c r="N117" s="108"/>
    </row>
    <row r="118" spans="1:14" ht="15.75">
      <c r="A118" s="3">
        <v>114</v>
      </c>
      <c r="B118" s="12">
        <v>580195675</v>
      </c>
      <c r="C118" s="13" t="s">
        <v>88</v>
      </c>
      <c r="D118" s="13" t="s">
        <v>56</v>
      </c>
      <c r="E118" s="6">
        <v>371280</v>
      </c>
      <c r="F118" s="6">
        <v>219289</v>
      </c>
      <c r="G118" s="7">
        <f aca="true" t="shared" si="18" ref="G118:G129">F118/E118</f>
        <v>0.5906297134238311</v>
      </c>
      <c r="H118" s="14">
        <v>313689</v>
      </c>
      <c r="I118" s="15">
        <f aca="true" t="shared" si="19" ref="I118:I129">E118*$I$2</f>
        <v>259895.99999999997</v>
      </c>
      <c r="J118" s="15">
        <f aca="true" t="shared" si="20" ref="J118:J129">H118*$J$2</f>
        <v>250951.2</v>
      </c>
      <c r="K118" s="85">
        <f aca="true" t="shared" si="21" ref="K118:K129">ROUND(IF(IF(MIN(I118,J118)&lt;F118,MIN(I118,J118)-F118,MIN(I118,J118))&lt;0,0,IF(MIN(I118,J118)&lt;F118,MIN(I118,J118)-F118,MIN(I118,J118))),0)</f>
        <v>250951</v>
      </c>
      <c r="L118" s="79">
        <v>152244</v>
      </c>
      <c r="M118" s="86">
        <f>ROUND(VLOOKUP(B118,גיליון1!A103:B1073,2,0),0)</f>
        <v>313689</v>
      </c>
      <c r="N118" s="108"/>
    </row>
    <row r="119" spans="1:14" ht="15">
      <c r="A119">
        <v>115</v>
      </c>
      <c r="B119" s="18">
        <v>580195808</v>
      </c>
      <c r="C119" s="4" t="s">
        <v>680</v>
      </c>
      <c r="D119" s="4" t="s">
        <v>68</v>
      </c>
      <c r="E119" s="6">
        <v>13991.25</v>
      </c>
      <c r="F119" s="6">
        <v>6996</v>
      </c>
      <c r="G119" s="7">
        <f t="shared" si="18"/>
        <v>0.5000268024658269</v>
      </c>
      <c r="H119" s="14">
        <v>14289</v>
      </c>
      <c r="I119" s="15">
        <f t="shared" si="19"/>
        <v>9793.875</v>
      </c>
      <c r="J119" s="15">
        <f t="shared" si="20"/>
        <v>11431.2</v>
      </c>
      <c r="K119" s="85">
        <f t="shared" si="21"/>
        <v>9794</v>
      </c>
      <c r="L119" s="79">
        <v>6995.625</v>
      </c>
      <c r="M119" s="86">
        <f>ROUND(VLOOKUP(B119,גיליון1!A104:B1074,2,0),0)</f>
        <v>14289</v>
      </c>
      <c r="N119" s="108"/>
    </row>
    <row r="120" spans="1:14" ht="15">
      <c r="A120" s="3">
        <v>116</v>
      </c>
      <c r="B120" s="4">
        <v>580197150</v>
      </c>
      <c r="C120" s="4" t="s">
        <v>89</v>
      </c>
      <c r="D120" s="4" t="s">
        <v>90</v>
      </c>
      <c r="E120" s="6">
        <v>13568.75</v>
      </c>
      <c r="F120" s="6">
        <v>6784</v>
      </c>
      <c r="G120" s="7">
        <f t="shared" si="18"/>
        <v>0.49997236296637493</v>
      </c>
      <c r="H120" s="14">
        <v>56510</v>
      </c>
      <c r="I120" s="15">
        <f t="shared" si="19"/>
        <v>9498.125</v>
      </c>
      <c r="J120" s="15">
        <f t="shared" si="20"/>
        <v>45208</v>
      </c>
      <c r="K120" s="85">
        <f t="shared" si="21"/>
        <v>9498</v>
      </c>
      <c r="L120" s="79">
        <v>6784.375</v>
      </c>
      <c r="M120" s="86">
        <f>ROUND(VLOOKUP(B120,גיליון1!A105:B1075,2,0),0)</f>
        <v>56510</v>
      </c>
      <c r="N120" s="108"/>
    </row>
    <row r="121" spans="1:14" ht="15.75">
      <c r="A121">
        <v>117</v>
      </c>
      <c r="B121" s="37">
        <v>580197317</v>
      </c>
      <c r="C121" s="13" t="s">
        <v>584</v>
      </c>
      <c r="D121" s="17" t="s">
        <v>59</v>
      </c>
      <c r="E121" s="6">
        <v>365839.75</v>
      </c>
      <c r="F121" s="6">
        <v>182920</v>
      </c>
      <c r="G121" s="7">
        <f t="shared" si="18"/>
        <v>0.5000003416796562</v>
      </c>
      <c r="H121" s="14">
        <v>279955</v>
      </c>
      <c r="I121" s="15">
        <f t="shared" si="19"/>
        <v>256087.82499999998</v>
      </c>
      <c r="J121" s="15">
        <f t="shared" si="20"/>
        <v>223964</v>
      </c>
      <c r="K121" s="85">
        <f t="shared" si="21"/>
        <v>223964</v>
      </c>
      <c r="L121" s="79">
        <v>182919.875</v>
      </c>
      <c r="M121" s="86">
        <f>ROUND(VLOOKUP(B121,גיליון1!A106:B1076,2,0),0)</f>
        <v>279954</v>
      </c>
      <c r="N121" s="108"/>
    </row>
    <row r="122" spans="1:14" ht="15.75">
      <c r="A122" s="3">
        <v>118</v>
      </c>
      <c r="B122" s="12">
        <v>580197903</v>
      </c>
      <c r="C122" s="13" t="s">
        <v>259</v>
      </c>
      <c r="D122" s="17" t="s">
        <v>59</v>
      </c>
      <c r="E122" s="6">
        <v>41862</v>
      </c>
      <c r="F122" s="6">
        <v>29303</v>
      </c>
      <c r="G122" s="7">
        <f t="shared" si="18"/>
        <v>0.699990444794802</v>
      </c>
      <c r="H122" s="14">
        <v>49230</v>
      </c>
      <c r="I122" s="15">
        <f t="shared" si="19"/>
        <v>29303.399999999998</v>
      </c>
      <c r="J122" s="15">
        <f t="shared" si="20"/>
        <v>39384</v>
      </c>
      <c r="K122" s="85">
        <f t="shared" si="21"/>
        <v>29303</v>
      </c>
      <c r="L122" s="79">
        <v>29303.399999999998</v>
      </c>
      <c r="M122" s="86">
        <f>ROUND(VLOOKUP(B122,גיליון1!A107:B1077,2,0),0)</f>
        <v>49229</v>
      </c>
      <c r="N122" s="108"/>
    </row>
    <row r="123" spans="1:14" ht="15.75">
      <c r="A123">
        <v>119</v>
      </c>
      <c r="B123" s="13">
        <v>580202513</v>
      </c>
      <c r="C123" s="13" t="s">
        <v>91</v>
      </c>
      <c r="D123" s="20" t="s">
        <v>90</v>
      </c>
      <c r="E123" s="6">
        <v>86595.75</v>
      </c>
      <c r="F123" s="6">
        <v>60617</v>
      </c>
      <c r="G123" s="7">
        <f t="shared" si="18"/>
        <v>0.699999711302229</v>
      </c>
      <c r="H123" s="14">
        <v>82294</v>
      </c>
      <c r="I123" s="15">
        <f t="shared" si="19"/>
        <v>60617.024999999994</v>
      </c>
      <c r="J123" s="15">
        <f t="shared" si="20"/>
        <v>65835.2</v>
      </c>
      <c r="K123" s="85">
        <f t="shared" si="21"/>
        <v>60617</v>
      </c>
      <c r="L123" s="79">
        <v>60617.024999999994</v>
      </c>
      <c r="M123" s="86">
        <f>ROUND(VLOOKUP(B123,גיליון1!A108:B1078,2,0),0)</f>
        <v>82294</v>
      </c>
      <c r="N123" s="108"/>
    </row>
    <row r="124" spans="1:14" ht="15.75">
      <c r="A124" s="3">
        <v>120</v>
      </c>
      <c r="B124" s="12">
        <v>580202687</v>
      </c>
      <c r="C124" s="13" t="s">
        <v>681</v>
      </c>
      <c r="D124" s="13" t="s">
        <v>56</v>
      </c>
      <c r="E124" s="6">
        <v>18263</v>
      </c>
      <c r="F124" s="6">
        <v>7305</v>
      </c>
      <c r="G124" s="7">
        <f t="shared" si="18"/>
        <v>0.39998904889667636</v>
      </c>
      <c r="H124" s="14">
        <v>17849</v>
      </c>
      <c r="I124" s="15">
        <f t="shared" si="19"/>
        <v>12784.099999999999</v>
      </c>
      <c r="J124" s="15">
        <f t="shared" si="20"/>
        <v>14279.2</v>
      </c>
      <c r="K124" s="85">
        <f t="shared" si="21"/>
        <v>12784</v>
      </c>
      <c r="L124" s="79">
        <v>7305.200000000001</v>
      </c>
      <c r="M124" s="86">
        <f>ROUND(VLOOKUP(B124,גיליון1!A109:B1079,2,0),0)</f>
        <v>17849</v>
      </c>
      <c r="N124" s="108"/>
    </row>
    <row r="125" spans="1:14" ht="15.75">
      <c r="A125">
        <v>121</v>
      </c>
      <c r="B125" s="12">
        <v>580203107</v>
      </c>
      <c r="C125" s="13" t="s">
        <v>428</v>
      </c>
      <c r="D125" s="13" t="s">
        <v>56</v>
      </c>
      <c r="E125" s="6">
        <v>333663.5</v>
      </c>
      <c r="F125" s="6">
        <v>233564</v>
      </c>
      <c r="G125" s="7">
        <f t="shared" si="18"/>
        <v>0.6999986513358518</v>
      </c>
      <c r="H125" s="14">
        <v>435904</v>
      </c>
      <c r="I125" s="15">
        <f t="shared" si="19"/>
        <v>233564.44999999998</v>
      </c>
      <c r="J125" s="15">
        <f t="shared" si="20"/>
        <v>348723.2</v>
      </c>
      <c r="K125" s="85">
        <f t="shared" si="21"/>
        <v>233564</v>
      </c>
      <c r="L125" s="79">
        <v>233564.44999999998</v>
      </c>
      <c r="M125" s="86">
        <f>ROUND(VLOOKUP(B125,גיליון1!A110:B1080,2,0),0)</f>
        <v>435900</v>
      </c>
      <c r="N125" s="108"/>
    </row>
    <row r="126" spans="1:14" ht="15.75">
      <c r="A126" s="3">
        <v>122</v>
      </c>
      <c r="B126" s="37">
        <v>580203412</v>
      </c>
      <c r="C126" s="12" t="s">
        <v>620</v>
      </c>
      <c r="D126" s="13" t="s">
        <v>68</v>
      </c>
      <c r="E126" s="6">
        <v>2212</v>
      </c>
      <c r="F126" s="6">
        <v>1106</v>
      </c>
      <c r="G126" s="7">
        <f t="shared" si="18"/>
        <v>0.5</v>
      </c>
      <c r="H126" s="14">
        <v>3121</v>
      </c>
      <c r="I126" s="15">
        <f t="shared" si="19"/>
        <v>1548.3999999999999</v>
      </c>
      <c r="J126" s="15">
        <f t="shared" si="20"/>
        <v>2496.8</v>
      </c>
      <c r="K126" s="85">
        <f t="shared" si="21"/>
        <v>1548</v>
      </c>
      <c r="L126" s="79">
        <v>1106</v>
      </c>
      <c r="M126" s="86">
        <f>ROUND(VLOOKUP(B126,גיליון1!A111:B1081,2,0),0)</f>
        <v>3121</v>
      </c>
      <c r="N126" s="108"/>
    </row>
    <row r="127" spans="1:14" ht="15.75">
      <c r="A127">
        <v>123</v>
      </c>
      <c r="B127" s="12">
        <v>580203800</v>
      </c>
      <c r="C127" s="13" t="s">
        <v>429</v>
      </c>
      <c r="D127" s="17" t="s">
        <v>59</v>
      </c>
      <c r="E127" s="6">
        <v>42798</v>
      </c>
      <c r="F127" s="6">
        <v>17119</v>
      </c>
      <c r="G127" s="7">
        <f t="shared" si="18"/>
        <v>0.39999532688443384</v>
      </c>
      <c r="H127" s="14">
        <v>17526</v>
      </c>
      <c r="I127" s="15">
        <f t="shared" si="19"/>
        <v>29958.6</v>
      </c>
      <c r="J127" s="15">
        <f t="shared" si="20"/>
        <v>14020.800000000001</v>
      </c>
      <c r="K127" s="85">
        <f t="shared" si="21"/>
        <v>0</v>
      </c>
      <c r="L127" s="79">
        <v>17119.2</v>
      </c>
      <c r="M127" s="86">
        <f>ROUND(VLOOKUP(B127,גיליון1!A112:B1082,2,0),0)</f>
        <v>17526</v>
      </c>
      <c r="N127" s="108"/>
    </row>
    <row r="128" spans="1:14" ht="15.75">
      <c r="A128" s="3">
        <v>124</v>
      </c>
      <c r="B128" s="12">
        <v>580204386</v>
      </c>
      <c r="C128" s="13" t="s">
        <v>92</v>
      </c>
      <c r="D128" s="13" t="s">
        <v>56</v>
      </c>
      <c r="E128" s="6">
        <v>290353.75</v>
      </c>
      <c r="F128" s="6">
        <v>203248</v>
      </c>
      <c r="G128" s="7">
        <f t="shared" si="18"/>
        <v>0.7000012915280068</v>
      </c>
      <c r="H128" s="14">
        <v>273206</v>
      </c>
      <c r="I128" s="15">
        <f t="shared" si="19"/>
        <v>203247.625</v>
      </c>
      <c r="J128" s="15">
        <f t="shared" si="20"/>
        <v>218564.80000000002</v>
      </c>
      <c r="K128" s="85">
        <f t="shared" si="21"/>
        <v>0</v>
      </c>
      <c r="L128" s="79">
        <v>203247.625</v>
      </c>
      <c r="M128" s="86">
        <f>ROUND(VLOOKUP(B128,גיליון1!A113:B1083,2,0),0)</f>
        <v>273201</v>
      </c>
      <c r="N128" s="108"/>
    </row>
    <row r="129" spans="1:14" ht="15.75">
      <c r="A129">
        <v>125</v>
      </c>
      <c r="B129" s="12">
        <v>580205052</v>
      </c>
      <c r="C129" s="13" t="s">
        <v>93</v>
      </c>
      <c r="D129" s="17" t="s">
        <v>59</v>
      </c>
      <c r="E129" s="6">
        <v>57475.25</v>
      </c>
      <c r="F129" s="6">
        <v>40233</v>
      </c>
      <c r="G129" s="7">
        <f t="shared" si="18"/>
        <v>0.7000056546078529</v>
      </c>
      <c r="H129" s="14">
        <v>92108</v>
      </c>
      <c r="I129" s="15">
        <f t="shared" si="19"/>
        <v>40232.674999999996</v>
      </c>
      <c r="J129" s="15">
        <f t="shared" si="20"/>
        <v>73686.40000000001</v>
      </c>
      <c r="K129" s="85">
        <f t="shared" si="21"/>
        <v>0</v>
      </c>
      <c r="L129" s="79">
        <v>40232.674999999996</v>
      </c>
      <c r="M129" s="86">
        <f>ROUND(VLOOKUP(B129,גיליון1!A114:B1084,2,0),0)</f>
        <v>92108</v>
      </c>
      <c r="N129" s="108"/>
    </row>
    <row r="130" spans="1:14" ht="15.75">
      <c r="A130" s="3">
        <v>126</v>
      </c>
      <c r="B130" s="41">
        <v>580205383</v>
      </c>
      <c r="C130" s="41" t="s">
        <v>931</v>
      </c>
      <c r="D130" s="13"/>
      <c r="E130" s="116"/>
      <c r="F130" s="116"/>
      <c r="G130" s="117"/>
      <c r="H130" s="118">
        <v>10347</v>
      </c>
      <c r="I130" s="15"/>
      <c r="J130" s="15"/>
      <c r="K130" s="110"/>
      <c r="L130" s="79"/>
      <c r="M130" s="86"/>
      <c r="N130" s="108"/>
    </row>
    <row r="131" spans="1:14" ht="15.75">
      <c r="A131">
        <v>127</v>
      </c>
      <c r="B131" s="12">
        <v>580208536</v>
      </c>
      <c r="C131" s="13" t="s">
        <v>94</v>
      </c>
      <c r="D131" s="13" t="s">
        <v>56</v>
      </c>
      <c r="E131" s="6">
        <v>23128</v>
      </c>
      <c r="F131" s="6">
        <v>16190</v>
      </c>
      <c r="G131" s="7">
        <f aca="true" t="shared" si="22" ref="G131:G139">F131/E131</f>
        <v>0.7000172950536147</v>
      </c>
      <c r="H131" s="14">
        <v>49229</v>
      </c>
      <c r="I131" s="15">
        <f aca="true" t="shared" si="23" ref="I131:I139">E131*$I$2</f>
        <v>16189.599999999999</v>
      </c>
      <c r="J131" s="15">
        <f aca="true" t="shared" si="24" ref="J131:J139">H131*$J$2</f>
        <v>39383.200000000004</v>
      </c>
      <c r="K131" s="85">
        <f aca="true" t="shared" si="25" ref="K131:K139">ROUND(IF(IF(MIN(I131,J131)&lt;F131,MIN(I131,J131)-F131,MIN(I131,J131))&lt;0,0,IF(MIN(I131,J131)&lt;F131,MIN(I131,J131)-F131,MIN(I131,J131))),0)</f>
        <v>0</v>
      </c>
      <c r="L131" s="79">
        <v>16189.599999999999</v>
      </c>
      <c r="M131" s="86">
        <f>ROUND(VLOOKUP(B131,גיליון1!A115:B1085,2,0),0)</f>
        <v>49229</v>
      </c>
      <c r="N131" s="108"/>
    </row>
    <row r="132" spans="1:14" ht="15.75">
      <c r="A132" s="3">
        <v>128</v>
      </c>
      <c r="B132" s="12">
        <v>580209450</v>
      </c>
      <c r="C132" s="13" t="s">
        <v>329</v>
      </c>
      <c r="D132" s="17" t="s">
        <v>59</v>
      </c>
      <c r="E132" s="6">
        <v>284654.5</v>
      </c>
      <c r="F132" s="6">
        <v>172266</v>
      </c>
      <c r="G132" s="7">
        <f t="shared" si="22"/>
        <v>0.6051757481438024</v>
      </c>
      <c r="H132" s="14">
        <v>215332</v>
      </c>
      <c r="I132" s="15">
        <f t="shared" si="23"/>
        <v>199258.15</v>
      </c>
      <c r="J132" s="15">
        <f t="shared" si="24"/>
        <v>172265.6</v>
      </c>
      <c r="K132" s="85">
        <f t="shared" si="25"/>
        <v>0</v>
      </c>
      <c r="L132" s="79">
        <v>172265.64800000002</v>
      </c>
      <c r="M132" s="86">
        <f>ROUND(VLOOKUP(B132,גיליון1!A116:B1086,2,0),0)</f>
        <v>215332</v>
      </c>
      <c r="N132" s="108"/>
    </row>
    <row r="133" spans="1:14" ht="15.75">
      <c r="A133">
        <v>129</v>
      </c>
      <c r="B133" s="12">
        <v>580209955</v>
      </c>
      <c r="C133" s="12" t="s">
        <v>621</v>
      </c>
      <c r="D133" s="13" t="s">
        <v>64</v>
      </c>
      <c r="E133" s="6">
        <v>6023.25</v>
      </c>
      <c r="F133" s="6">
        <v>4216</v>
      </c>
      <c r="G133" s="7">
        <f t="shared" si="22"/>
        <v>0.6999543435852738</v>
      </c>
      <c r="H133" s="14">
        <v>7471</v>
      </c>
      <c r="I133" s="15">
        <f t="shared" si="23"/>
        <v>4216.275</v>
      </c>
      <c r="J133" s="15">
        <f t="shared" si="24"/>
        <v>5976.8</v>
      </c>
      <c r="K133" s="85">
        <f t="shared" si="25"/>
        <v>4216</v>
      </c>
      <c r="L133" s="79">
        <v>4216.275</v>
      </c>
      <c r="M133" s="86">
        <f>ROUND(VLOOKUP(B133,גיליון1!A117:B1087,2,0),0)</f>
        <v>7471</v>
      </c>
      <c r="N133" s="108"/>
    </row>
    <row r="134" spans="1:14" ht="15.75">
      <c r="A134" s="3">
        <v>130</v>
      </c>
      <c r="B134" s="13">
        <v>580215150</v>
      </c>
      <c r="C134" s="13" t="s">
        <v>95</v>
      </c>
      <c r="D134" s="13" t="s">
        <v>64</v>
      </c>
      <c r="E134" s="6">
        <v>62527.25</v>
      </c>
      <c r="F134" s="6">
        <v>43769</v>
      </c>
      <c r="G134" s="7">
        <f t="shared" si="22"/>
        <v>0.699998800522972</v>
      </c>
      <c r="H134" s="14">
        <v>91637</v>
      </c>
      <c r="I134" s="15">
        <f t="shared" si="23"/>
        <v>43769.075</v>
      </c>
      <c r="J134" s="15">
        <f t="shared" si="24"/>
        <v>73309.6</v>
      </c>
      <c r="K134" s="85">
        <f t="shared" si="25"/>
        <v>43769</v>
      </c>
      <c r="L134" s="79">
        <v>43769.075</v>
      </c>
      <c r="M134" s="86">
        <f>ROUND(VLOOKUP(B134,גיליון1!A118:B1088,2,0),0)</f>
        <v>91637</v>
      </c>
      <c r="N134" s="108"/>
    </row>
    <row r="135" spans="1:14" ht="15.75">
      <c r="A135">
        <v>131</v>
      </c>
      <c r="B135" s="12">
        <v>580215861</v>
      </c>
      <c r="C135" s="13" t="s">
        <v>96</v>
      </c>
      <c r="D135" s="13" t="s">
        <v>56</v>
      </c>
      <c r="E135" s="6">
        <f>615993+75922</f>
        <v>691915</v>
      </c>
      <c r="F135" s="6">
        <v>365478</v>
      </c>
      <c r="G135" s="7">
        <f t="shared" si="22"/>
        <v>0.528212280410166</v>
      </c>
      <c r="H135" s="14">
        <f>456847+28684</f>
        <v>485531</v>
      </c>
      <c r="I135" s="15">
        <f t="shared" si="23"/>
        <v>484340.49999999994</v>
      </c>
      <c r="J135" s="15">
        <f t="shared" si="24"/>
        <v>388424.80000000005</v>
      </c>
      <c r="K135" s="85">
        <f t="shared" si="25"/>
        <v>388425</v>
      </c>
      <c r="L135" s="79">
        <v>365477.60000000003</v>
      </c>
      <c r="M135" s="86">
        <f>ROUND(VLOOKUP(B135,גיליון1!A119:B1089,2,0),0)</f>
        <v>456844</v>
      </c>
      <c r="N135" s="108"/>
    </row>
    <row r="136" spans="1:14" ht="15.75">
      <c r="A136" s="3">
        <v>132</v>
      </c>
      <c r="B136" s="12">
        <v>580215978</v>
      </c>
      <c r="C136" s="13" t="s">
        <v>97</v>
      </c>
      <c r="D136" s="17" t="s">
        <v>59</v>
      </c>
      <c r="E136" s="6">
        <v>36091.75</v>
      </c>
      <c r="F136" s="6">
        <v>25264</v>
      </c>
      <c r="G136" s="7">
        <f t="shared" si="22"/>
        <v>0.6999937658883263</v>
      </c>
      <c r="H136" s="14">
        <v>64067</v>
      </c>
      <c r="I136" s="15">
        <f t="shared" si="23"/>
        <v>25264.225</v>
      </c>
      <c r="J136" s="15">
        <f t="shared" si="24"/>
        <v>51253.600000000006</v>
      </c>
      <c r="K136" s="85">
        <f t="shared" si="25"/>
        <v>25264</v>
      </c>
      <c r="L136" s="79">
        <v>25264.225</v>
      </c>
      <c r="M136" s="86">
        <f>ROUND(VLOOKUP(B136,גיליון1!A120:B1090,2,0),0)</f>
        <v>64067</v>
      </c>
      <c r="N136" s="108"/>
    </row>
    <row r="137" spans="1:14" ht="15.75">
      <c r="A137">
        <v>133</v>
      </c>
      <c r="B137" s="12">
        <v>580216372</v>
      </c>
      <c r="C137" s="13" t="s">
        <v>499</v>
      </c>
      <c r="D137" s="13" t="s">
        <v>70</v>
      </c>
      <c r="E137" s="6">
        <v>810274.75</v>
      </c>
      <c r="F137" s="6">
        <v>405137</v>
      </c>
      <c r="G137" s="7">
        <f t="shared" si="22"/>
        <v>0.4999995371940197</v>
      </c>
      <c r="H137" s="14">
        <v>940276</v>
      </c>
      <c r="I137" s="15">
        <f t="shared" si="23"/>
        <v>567192.325</v>
      </c>
      <c r="J137" s="15">
        <f t="shared" si="24"/>
        <v>752220.8</v>
      </c>
      <c r="K137" s="85">
        <f t="shared" si="25"/>
        <v>567192</v>
      </c>
      <c r="L137" s="79">
        <v>405137.375</v>
      </c>
      <c r="M137" s="86">
        <f>ROUND(VLOOKUP(B137,גיליון1!A121:B1091,2,0),0)</f>
        <v>940265</v>
      </c>
      <c r="N137" s="108"/>
    </row>
    <row r="138" spans="1:14" ht="15.75">
      <c r="A138" s="3">
        <v>134</v>
      </c>
      <c r="B138" s="12">
        <v>580216943</v>
      </c>
      <c r="C138" s="13" t="s">
        <v>430</v>
      </c>
      <c r="D138" s="13" t="s">
        <v>56</v>
      </c>
      <c r="E138" s="6">
        <v>42352.75</v>
      </c>
      <c r="F138" s="6">
        <v>26109</v>
      </c>
      <c r="G138" s="7">
        <f t="shared" si="22"/>
        <v>0.6164652826557898</v>
      </c>
      <c r="H138" s="14">
        <v>32636</v>
      </c>
      <c r="I138" s="15">
        <f t="shared" si="23"/>
        <v>29646.925</v>
      </c>
      <c r="J138" s="15">
        <f t="shared" si="24"/>
        <v>26108.800000000003</v>
      </c>
      <c r="K138" s="85">
        <f t="shared" si="25"/>
        <v>0</v>
      </c>
      <c r="L138" s="79">
        <v>26108.872000000003</v>
      </c>
      <c r="M138" s="86">
        <f>ROUND(VLOOKUP(B138,גיליון1!A122:B1092,2,0),0)</f>
        <v>32636</v>
      </c>
      <c r="N138" s="108"/>
    </row>
    <row r="139" spans="1:14" ht="15.75">
      <c r="A139">
        <v>135</v>
      </c>
      <c r="B139" s="24">
        <v>580217826</v>
      </c>
      <c r="C139" s="25" t="s">
        <v>557</v>
      </c>
      <c r="D139" s="51" t="s">
        <v>56</v>
      </c>
      <c r="E139" s="6">
        <v>8825</v>
      </c>
      <c r="F139" s="6">
        <v>4133</v>
      </c>
      <c r="G139" s="7">
        <f t="shared" si="22"/>
        <v>0.468328611898017</v>
      </c>
      <c r="H139" s="14">
        <v>9164</v>
      </c>
      <c r="I139" s="15">
        <f t="shared" si="23"/>
        <v>6177.5</v>
      </c>
      <c r="J139" s="15">
        <f t="shared" si="24"/>
        <v>7331.200000000001</v>
      </c>
      <c r="K139" s="85">
        <f t="shared" si="25"/>
        <v>6178</v>
      </c>
      <c r="L139" s="79">
        <v>4133.399999999998</v>
      </c>
      <c r="M139" s="86">
        <f>ROUND(VLOOKUP(B139,גיליון1!A123:B1093,2,0),0)</f>
        <v>9163</v>
      </c>
      <c r="N139" s="108"/>
    </row>
    <row r="140" spans="1:14" ht="15.75">
      <c r="A140" s="3">
        <v>136</v>
      </c>
      <c r="B140" s="129">
        <v>580219624</v>
      </c>
      <c r="C140" s="130" t="s">
        <v>932</v>
      </c>
      <c r="D140" s="13"/>
      <c r="E140" s="116"/>
      <c r="F140" s="116"/>
      <c r="G140" s="117"/>
      <c r="H140" s="118">
        <v>14258</v>
      </c>
      <c r="I140" s="15"/>
      <c r="J140" s="15"/>
      <c r="K140" s="110"/>
      <c r="L140" s="79"/>
      <c r="M140" s="86"/>
      <c r="N140" s="108"/>
    </row>
    <row r="141" spans="1:14" ht="15.75">
      <c r="A141">
        <v>137</v>
      </c>
      <c r="B141" s="13">
        <v>580220580</v>
      </c>
      <c r="C141" s="13" t="s">
        <v>98</v>
      </c>
      <c r="D141" s="13" t="s">
        <v>64</v>
      </c>
      <c r="E141" s="6">
        <v>187819.8</v>
      </c>
      <c r="F141" s="6">
        <v>93910</v>
      </c>
      <c r="G141" s="7">
        <f>F141/E141</f>
        <v>0.5000005324252289</v>
      </c>
      <c r="H141" s="14">
        <v>196518</v>
      </c>
      <c r="I141" s="15">
        <f>E141*$I$2</f>
        <v>131473.86</v>
      </c>
      <c r="J141" s="15">
        <f>H141*$J$2</f>
        <v>157214.40000000002</v>
      </c>
      <c r="K141" s="85">
        <f>ROUND(IF(IF(MIN(I141,J141)&lt;F141,MIN(I141,J141)-F141,MIN(I141,J141))&lt;0,0,IF(MIN(I141,J141)&lt;F141,MIN(I141,J141)-F141,MIN(I141,J141))),0)</f>
        <v>131474</v>
      </c>
      <c r="L141" s="79">
        <v>93909.89999999998</v>
      </c>
      <c r="M141" s="86">
        <f>ROUND(VLOOKUP(B141,גיליון1!A124:B1094,2,0),0)</f>
        <v>212610</v>
      </c>
      <c r="N141" s="108"/>
    </row>
    <row r="142" spans="1:14" ht="15.75">
      <c r="A142" s="3">
        <v>138</v>
      </c>
      <c r="B142" s="34">
        <v>580221448</v>
      </c>
      <c r="C142" s="34" t="s">
        <v>431</v>
      </c>
      <c r="D142" s="13" t="s">
        <v>70</v>
      </c>
      <c r="E142" s="6">
        <v>45360</v>
      </c>
      <c r="F142" s="6">
        <v>22680</v>
      </c>
      <c r="G142" s="7">
        <f>F142/E142</f>
        <v>0.5</v>
      </c>
      <c r="H142" s="14">
        <v>27187</v>
      </c>
      <c r="I142" s="15">
        <f>E142*$I$2</f>
        <v>31751.999999999996</v>
      </c>
      <c r="J142" s="15">
        <f>H142*$J$2</f>
        <v>21749.600000000002</v>
      </c>
      <c r="K142" s="85">
        <f>ROUND(IF(IF(MIN(I142,J142)&lt;F142,MIN(I142,J142)-F142,MIN(I142,J142))&lt;0,0,IF(MIN(I142,J142)&lt;F142,MIN(I142,J142)-F142,MIN(I142,J142))),0)</f>
        <v>0</v>
      </c>
      <c r="L142" s="79">
        <v>22680</v>
      </c>
      <c r="M142" s="86">
        <f>ROUND(VLOOKUP(B142,גיליון1!A125:B1095,2,0),0)</f>
        <v>27187</v>
      </c>
      <c r="N142" s="108"/>
    </row>
    <row r="143" spans="1:14" ht="15.75">
      <c r="A143">
        <v>139</v>
      </c>
      <c r="B143" s="13">
        <v>580221976</v>
      </c>
      <c r="C143" s="21" t="s">
        <v>99</v>
      </c>
      <c r="D143" s="13" t="s">
        <v>70</v>
      </c>
      <c r="E143" s="6">
        <v>60967.25</v>
      </c>
      <c r="F143" s="6">
        <v>42677</v>
      </c>
      <c r="G143" s="7">
        <f>F143/E143</f>
        <v>0.6999987698313439</v>
      </c>
      <c r="H143" s="14">
        <v>62884</v>
      </c>
      <c r="I143" s="15">
        <f>E143*$I$2</f>
        <v>42677.075</v>
      </c>
      <c r="J143" s="15">
        <f>H143*$J$2</f>
        <v>50307.200000000004</v>
      </c>
      <c r="K143" s="85">
        <f>ROUND(IF(IF(MIN(I143,J143)&lt;F143,MIN(I143,J143)-F143,MIN(I143,J143))&lt;0,0,IF(MIN(I143,J143)&lt;F143,MIN(I143,J143)-F143,MIN(I143,J143))),0)</f>
        <v>42677</v>
      </c>
      <c r="L143" s="79">
        <v>42677.075</v>
      </c>
      <c r="M143" s="86">
        <f>ROUND(VLOOKUP(B143,גיליון1!A126:B1096,2,0),0)</f>
        <v>62884</v>
      </c>
      <c r="N143" s="108"/>
    </row>
    <row r="144" spans="1:14" ht="15.75">
      <c r="A144" s="3">
        <v>140</v>
      </c>
      <c r="B144" s="120">
        <v>580223543</v>
      </c>
      <c r="C144" s="123" t="s">
        <v>1063</v>
      </c>
      <c r="D144" s="13"/>
      <c r="E144" s="116">
        <v>5172</v>
      </c>
      <c r="F144" s="116">
        <v>2586</v>
      </c>
      <c r="G144" s="117"/>
      <c r="H144" s="118">
        <v>7017</v>
      </c>
      <c r="I144" s="15"/>
      <c r="J144" s="15"/>
      <c r="K144" s="110"/>
      <c r="L144" s="79"/>
      <c r="M144" s="86"/>
      <c r="N144" s="108"/>
    </row>
    <row r="145" spans="1:14" ht="15.75">
      <c r="A145">
        <v>141</v>
      </c>
      <c r="B145" s="12">
        <v>580224046</v>
      </c>
      <c r="C145" s="13" t="s">
        <v>100</v>
      </c>
      <c r="D145" s="17" t="s">
        <v>59</v>
      </c>
      <c r="E145" s="6">
        <f>543378.5+94902</f>
        <v>638280.5</v>
      </c>
      <c r="F145" s="6">
        <v>311669</v>
      </c>
      <c r="G145" s="7">
        <f aca="true" t="shared" si="26" ref="G145:G153">F145/E145</f>
        <v>0.4882947230880467</v>
      </c>
      <c r="H145" s="14">
        <f>389586+35855</f>
        <v>425441</v>
      </c>
      <c r="I145" s="15">
        <f aca="true" t="shared" si="27" ref="I145:I153">E145*$I$2</f>
        <v>446796.35</v>
      </c>
      <c r="J145" s="15">
        <f aca="true" t="shared" si="28" ref="J145:J153">H145*$J$2</f>
        <v>340352.80000000005</v>
      </c>
      <c r="K145" s="85">
        <f aca="true" t="shared" si="29" ref="K145:K153">ROUND(IF(IF(MIN(I145,J145)&lt;F145,MIN(I145,J145)-F145,MIN(I145,J145))&lt;0,0,IF(MIN(I145,J145)&lt;F145,MIN(I145,J145)-F145,MIN(I145,J145))),0)</f>
        <v>340353</v>
      </c>
      <c r="L145" s="79">
        <v>311669.152</v>
      </c>
      <c r="M145" s="86">
        <f>ROUND(VLOOKUP(B145,גיליון1!A127:B1097,2,0),0)</f>
        <v>389564</v>
      </c>
      <c r="N145" s="108"/>
    </row>
    <row r="146" spans="1:14" ht="15">
      <c r="A146" s="3">
        <v>142</v>
      </c>
      <c r="B146" s="44">
        <v>580226082</v>
      </c>
      <c r="C146" s="42" t="s">
        <v>330</v>
      </c>
      <c r="D146" s="42" t="s">
        <v>68</v>
      </c>
      <c r="E146" s="6">
        <v>75430.5</v>
      </c>
      <c r="F146" s="6">
        <v>46458</v>
      </c>
      <c r="G146" s="7">
        <f t="shared" si="26"/>
        <v>0.6159047069819238</v>
      </c>
      <c r="H146" s="14">
        <v>58072</v>
      </c>
      <c r="I146" s="15">
        <f t="shared" si="27"/>
        <v>52801.35</v>
      </c>
      <c r="J146" s="15">
        <f t="shared" si="28"/>
        <v>46457.600000000006</v>
      </c>
      <c r="K146" s="85">
        <f t="shared" si="29"/>
        <v>0</v>
      </c>
      <c r="L146" s="79">
        <v>46457.600000000006</v>
      </c>
      <c r="M146" s="86">
        <f>ROUND(VLOOKUP(B146,גיליון1!A128:B1098,2,0),0)</f>
        <v>58072</v>
      </c>
      <c r="N146" s="108"/>
    </row>
    <row r="147" spans="1:14" ht="15.75">
      <c r="A147">
        <v>143</v>
      </c>
      <c r="B147" s="12">
        <v>580226504</v>
      </c>
      <c r="C147" s="13" t="s">
        <v>101</v>
      </c>
      <c r="D147" s="13" t="s">
        <v>56</v>
      </c>
      <c r="E147" s="6">
        <f>526795.75+77250</f>
        <v>604045.75</v>
      </c>
      <c r="F147" s="6">
        <v>263398</v>
      </c>
      <c r="G147" s="7">
        <f t="shared" si="26"/>
        <v>0.43605637486895654</v>
      </c>
      <c r="H147" s="14">
        <f>135079+86293</f>
        <v>221372</v>
      </c>
      <c r="I147" s="15">
        <f t="shared" si="27"/>
        <v>422832.02499999997</v>
      </c>
      <c r="J147" s="15">
        <f t="shared" si="28"/>
        <v>177097.6</v>
      </c>
      <c r="K147" s="85">
        <f t="shared" si="29"/>
        <v>0</v>
      </c>
      <c r="L147" s="79">
        <v>263397.875</v>
      </c>
      <c r="M147" s="86">
        <f>ROUND(VLOOKUP(B147,גיליון1!A129:B1099,2,0),0)</f>
        <v>135079</v>
      </c>
      <c r="N147" s="108"/>
    </row>
    <row r="148" spans="1:14" ht="15.75">
      <c r="A148" s="3">
        <v>144</v>
      </c>
      <c r="B148" s="12">
        <v>580226785</v>
      </c>
      <c r="C148" s="12" t="s">
        <v>622</v>
      </c>
      <c r="D148" s="13" t="s">
        <v>59</v>
      </c>
      <c r="E148" s="6">
        <v>73189</v>
      </c>
      <c r="F148" s="6">
        <v>29276</v>
      </c>
      <c r="G148" s="7">
        <f t="shared" si="26"/>
        <v>0.4000054653021629</v>
      </c>
      <c r="H148" s="14">
        <v>120613</v>
      </c>
      <c r="I148" s="15">
        <f t="shared" si="27"/>
        <v>51232.299999999996</v>
      </c>
      <c r="J148" s="15">
        <f t="shared" si="28"/>
        <v>96490.40000000001</v>
      </c>
      <c r="K148" s="85">
        <f t="shared" si="29"/>
        <v>51232</v>
      </c>
      <c r="L148" s="79">
        <v>29275.600000000002</v>
      </c>
      <c r="M148" s="86">
        <f>ROUND(VLOOKUP(B148,גיליון1!A130:B1100,2,0),0)</f>
        <v>120613</v>
      </c>
      <c r="N148" s="108"/>
    </row>
    <row r="149" spans="1:14" ht="15.75">
      <c r="A149">
        <v>145</v>
      </c>
      <c r="B149" s="12">
        <v>580226827</v>
      </c>
      <c r="C149" s="13" t="s">
        <v>103</v>
      </c>
      <c r="D149" s="17" t="s">
        <v>59</v>
      </c>
      <c r="E149" s="6">
        <v>159549.5</v>
      </c>
      <c r="F149" s="6">
        <v>111685</v>
      </c>
      <c r="G149" s="7">
        <f t="shared" si="26"/>
        <v>0.7000021936765706</v>
      </c>
      <c r="H149" s="14">
        <v>181628</v>
      </c>
      <c r="I149" s="15">
        <f t="shared" si="27"/>
        <v>111684.65</v>
      </c>
      <c r="J149" s="15">
        <f t="shared" si="28"/>
        <v>145302.4</v>
      </c>
      <c r="K149" s="85">
        <f t="shared" si="29"/>
        <v>0</v>
      </c>
      <c r="L149" s="79">
        <v>111684.65</v>
      </c>
      <c r="M149" s="86">
        <f>ROUND(VLOOKUP(B149,גיליון1!A131:B1101,2,0),0)</f>
        <v>181625</v>
      </c>
      <c r="N149" s="108"/>
    </row>
    <row r="150" spans="1:14" ht="15.75">
      <c r="A150" s="3">
        <v>146</v>
      </c>
      <c r="B150" s="13">
        <v>580226934</v>
      </c>
      <c r="C150" s="13" t="s">
        <v>682</v>
      </c>
      <c r="D150" s="13" t="s">
        <v>64</v>
      </c>
      <c r="E150" s="6">
        <v>35718</v>
      </c>
      <c r="F150" s="6">
        <v>17859</v>
      </c>
      <c r="G150" s="7">
        <f t="shared" si="26"/>
        <v>0.5</v>
      </c>
      <c r="H150" s="14">
        <v>73280</v>
      </c>
      <c r="I150" s="15">
        <f t="shared" si="27"/>
        <v>25002.6</v>
      </c>
      <c r="J150" s="15">
        <f t="shared" si="28"/>
        <v>58624</v>
      </c>
      <c r="K150" s="85">
        <f t="shared" si="29"/>
        <v>25003</v>
      </c>
      <c r="L150" s="79">
        <v>17859</v>
      </c>
      <c r="M150" s="86">
        <f>ROUND(VLOOKUP(B150,גיליון1!A132:B1102,2,0),0)</f>
        <v>73280</v>
      </c>
      <c r="N150" s="108"/>
    </row>
    <row r="151" spans="1:14" ht="15.75">
      <c r="A151">
        <v>147</v>
      </c>
      <c r="B151" s="12">
        <v>580228443</v>
      </c>
      <c r="C151" s="13" t="s">
        <v>104</v>
      </c>
      <c r="D151" s="13" t="s">
        <v>56</v>
      </c>
      <c r="E151" s="6">
        <f>275972.25+212883</f>
        <v>488855.25</v>
      </c>
      <c r="F151" s="6">
        <v>193181</v>
      </c>
      <c r="G151" s="7">
        <f t="shared" si="26"/>
        <v>0.3951701449457687</v>
      </c>
      <c r="H151" s="14">
        <f>275944+277939</f>
        <v>553883</v>
      </c>
      <c r="I151" s="15">
        <f t="shared" si="27"/>
        <v>342198.675</v>
      </c>
      <c r="J151" s="15">
        <f t="shared" si="28"/>
        <v>443106.4</v>
      </c>
      <c r="K151" s="85">
        <f t="shared" si="29"/>
        <v>342199</v>
      </c>
      <c r="L151" s="79">
        <v>193180.575</v>
      </c>
      <c r="M151" s="86">
        <f>ROUND(VLOOKUP(B151,גיליון1!A133:B1103,2,0),0)</f>
        <v>275945</v>
      </c>
      <c r="N151" s="108"/>
    </row>
    <row r="152" spans="1:14" ht="15.75">
      <c r="A152" s="3">
        <v>148</v>
      </c>
      <c r="B152" s="12">
        <v>580230464</v>
      </c>
      <c r="C152" s="13" t="s">
        <v>331</v>
      </c>
      <c r="D152" s="13" t="s">
        <v>56</v>
      </c>
      <c r="E152" s="6">
        <v>40290.75</v>
      </c>
      <c r="F152" s="6">
        <v>20145</v>
      </c>
      <c r="G152" s="7">
        <f t="shared" si="26"/>
        <v>0.4999906926527801</v>
      </c>
      <c r="H152" s="14">
        <v>38452</v>
      </c>
      <c r="I152" s="15">
        <f t="shared" si="27"/>
        <v>28203.524999999998</v>
      </c>
      <c r="J152" s="15">
        <f t="shared" si="28"/>
        <v>30761.600000000002</v>
      </c>
      <c r="K152" s="85">
        <f t="shared" si="29"/>
        <v>28204</v>
      </c>
      <c r="L152" s="79">
        <v>20145.375</v>
      </c>
      <c r="M152" s="86">
        <f>ROUND(VLOOKUP(B152,גיליון1!A134:B1104,2,0),0)</f>
        <v>38452</v>
      </c>
      <c r="N152" s="108"/>
    </row>
    <row r="153" spans="1:14" ht="15.75">
      <c r="A153">
        <v>149</v>
      </c>
      <c r="B153" s="12">
        <v>580231843</v>
      </c>
      <c r="C153" s="13" t="s">
        <v>432</v>
      </c>
      <c r="D153" s="17" t="s">
        <v>64</v>
      </c>
      <c r="E153" s="6">
        <v>94947.25</v>
      </c>
      <c r="F153" s="6">
        <v>47474</v>
      </c>
      <c r="G153" s="7">
        <f t="shared" si="26"/>
        <v>0.500003949561467</v>
      </c>
      <c r="H153" s="14">
        <v>72254</v>
      </c>
      <c r="I153" s="15">
        <f t="shared" si="27"/>
        <v>66463.075</v>
      </c>
      <c r="J153" s="15">
        <f t="shared" si="28"/>
        <v>57803.200000000004</v>
      </c>
      <c r="K153" s="85">
        <f t="shared" si="29"/>
        <v>57803</v>
      </c>
      <c r="L153" s="79">
        <v>47473.625</v>
      </c>
      <c r="M153" s="86">
        <f>ROUND(VLOOKUP(B153,גיליון1!A135:B1105,2,0),0)</f>
        <v>72254</v>
      </c>
      <c r="N153" s="108"/>
    </row>
    <row r="154" spans="1:14" ht="15.75">
      <c r="A154" s="3">
        <v>150</v>
      </c>
      <c r="B154" s="121">
        <v>580233161</v>
      </c>
      <c r="C154" s="120" t="s">
        <v>1064</v>
      </c>
      <c r="D154" s="13"/>
      <c r="E154" s="116">
        <v>138327</v>
      </c>
      <c r="F154" s="116">
        <v>69164</v>
      </c>
      <c r="G154" s="117"/>
      <c r="H154" s="118">
        <v>163923</v>
      </c>
      <c r="I154" s="15"/>
      <c r="J154" s="15"/>
      <c r="K154" s="110"/>
      <c r="L154" s="79"/>
      <c r="M154" s="86"/>
      <c r="N154" s="108"/>
    </row>
    <row r="155" spans="1:14" ht="15.75">
      <c r="A155">
        <v>151</v>
      </c>
      <c r="B155" s="12">
        <v>580233179</v>
      </c>
      <c r="C155" s="13" t="s">
        <v>105</v>
      </c>
      <c r="D155" s="13" t="s">
        <v>56</v>
      </c>
      <c r="E155" s="6">
        <v>361709.75</v>
      </c>
      <c r="F155" s="6">
        <v>238383</v>
      </c>
      <c r="G155" s="7">
        <f>F155/E155</f>
        <v>0.6590449939488775</v>
      </c>
      <c r="H155" s="14">
        <v>297978</v>
      </c>
      <c r="I155" s="15">
        <f>E155*$I$2</f>
        <v>253196.82499999998</v>
      </c>
      <c r="J155" s="15">
        <f>H155*$J$2</f>
        <v>238382.40000000002</v>
      </c>
      <c r="K155" s="85">
        <f>ROUND(IF(IF(MIN(I155,J155)&lt;F155,MIN(I155,J155)-F155,MIN(I155,J155))&lt;0,0,IF(MIN(I155,J155)&lt;F155,MIN(I155,J155)-F155,MIN(I155,J155))),0)</f>
        <v>0</v>
      </c>
      <c r="L155" s="79">
        <v>238382.76</v>
      </c>
      <c r="M155" s="86">
        <f>ROUND(VLOOKUP(B155,גיליון1!A136:B1106,2,0),0)</f>
        <v>297975</v>
      </c>
      <c r="N155" s="108"/>
    </row>
    <row r="156" spans="1:14" ht="15.75">
      <c r="A156" s="3">
        <v>152</v>
      </c>
      <c r="B156" s="122">
        <v>580233245</v>
      </c>
      <c r="C156" s="120" t="s">
        <v>1065</v>
      </c>
      <c r="D156" s="13"/>
      <c r="E156" s="116">
        <v>22971</v>
      </c>
      <c r="F156" s="116">
        <v>9930</v>
      </c>
      <c r="G156" s="117"/>
      <c r="H156" s="118">
        <v>19860</v>
      </c>
      <c r="I156" s="15"/>
      <c r="J156" s="15"/>
      <c r="K156" s="110"/>
      <c r="L156" s="79"/>
      <c r="M156" s="86"/>
      <c r="N156" s="108"/>
    </row>
    <row r="157" spans="1:14" ht="15.75">
      <c r="A157">
        <v>153</v>
      </c>
      <c r="B157" s="12">
        <v>580233997</v>
      </c>
      <c r="C157" s="13" t="s">
        <v>106</v>
      </c>
      <c r="D157" s="13" t="s">
        <v>56</v>
      </c>
      <c r="E157" s="6">
        <f>219566.75+75922</f>
        <v>295488.75</v>
      </c>
      <c r="F157" s="6">
        <v>153697</v>
      </c>
      <c r="G157" s="7">
        <f>F157/E157</f>
        <v>0.5201450139810737</v>
      </c>
      <c r="H157" s="14">
        <v>230629</v>
      </c>
      <c r="I157" s="15">
        <f>E157*$I$2</f>
        <v>206842.125</v>
      </c>
      <c r="J157" s="15">
        <f>H157*$J$2</f>
        <v>184503.2</v>
      </c>
      <c r="K157" s="85">
        <f>ROUND(IF(IF(MIN(I157,J157)&lt;F157,MIN(I157,J157)-F157,MIN(I157,J157))&lt;0,0,IF(MIN(I157,J157)&lt;F157,MIN(I157,J157)-F157,MIN(I157,J157))),0)</f>
        <v>184503</v>
      </c>
      <c r="L157" s="79">
        <v>153696.72499999998</v>
      </c>
      <c r="M157" s="86">
        <f>ROUND(VLOOKUP(B157,גיליון1!A137:B1107,2,0),0)</f>
        <v>230622</v>
      </c>
      <c r="N157" s="108"/>
    </row>
    <row r="158" spans="1:14" ht="15.75">
      <c r="A158" s="3">
        <v>154</v>
      </c>
      <c r="B158" s="13">
        <v>580235687</v>
      </c>
      <c r="C158" s="13" t="s">
        <v>107</v>
      </c>
      <c r="D158" s="13" t="s">
        <v>70</v>
      </c>
      <c r="E158" s="6">
        <v>109837</v>
      </c>
      <c r="F158" s="6">
        <v>76886</v>
      </c>
      <c r="G158" s="7">
        <f>F158/E158</f>
        <v>0.7000009104400157</v>
      </c>
      <c r="H158" s="14">
        <v>97775</v>
      </c>
      <c r="I158" s="15">
        <f>E158*$I$2</f>
        <v>76885.9</v>
      </c>
      <c r="J158" s="15">
        <f>H158*$J$2</f>
        <v>78220</v>
      </c>
      <c r="K158" s="85">
        <f>ROUND(IF(IF(MIN(I158,J158)&lt;F158,MIN(I158,J158)-F158,MIN(I158,J158))&lt;0,0,IF(MIN(I158,J158)&lt;F158,MIN(I158,J158)-F158,MIN(I158,J158))),0)</f>
        <v>0</v>
      </c>
      <c r="L158" s="79">
        <v>76885.9</v>
      </c>
      <c r="M158" s="86">
        <f>ROUND(VLOOKUP(B158,גיליון1!A138:B1108,2,0),0)</f>
        <v>97772</v>
      </c>
      <c r="N158" s="108"/>
    </row>
    <row r="159" spans="1:14" ht="15.75">
      <c r="A159">
        <v>155</v>
      </c>
      <c r="B159" s="119">
        <v>580235869</v>
      </c>
      <c r="C159" s="45" t="s">
        <v>1066</v>
      </c>
      <c r="D159" s="13"/>
      <c r="E159" s="116">
        <v>240257</v>
      </c>
      <c r="F159" s="116">
        <v>82477</v>
      </c>
      <c r="G159" s="117"/>
      <c r="H159" s="118">
        <v>164953</v>
      </c>
      <c r="I159" s="15"/>
      <c r="J159" s="15"/>
      <c r="K159" s="110"/>
      <c r="L159" s="79"/>
      <c r="M159" s="86"/>
      <c r="N159" s="108"/>
    </row>
    <row r="160" spans="1:14" ht="15.75">
      <c r="A160" s="3">
        <v>156</v>
      </c>
      <c r="B160" s="12">
        <v>580238160</v>
      </c>
      <c r="C160" s="12" t="s">
        <v>623</v>
      </c>
      <c r="D160" s="13" t="s">
        <v>59</v>
      </c>
      <c r="E160" s="6">
        <v>176044</v>
      </c>
      <c r="F160" s="6">
        <v>88022</v>
      </c>
      <c r="G160" s="7">
        <f aca="true" t="shared" si="30" ref="G160:G174">F160/E160</f>
        <v>0.5</v>
      </c>
      <c r="H160" s="14">
        <v>175130</v>
      </c>
      <c r="I160" s="15">
        <f aca="true" t="shared" si="31" ref="I160:I174">E160*$I$2</f>
        <v>123230.79999999999</v>
      </c>
      <c r="J160" s="15">
        <f aca="true" t="shared" si="32" ref="J160:J174">H160*$J$2</f>
        <v>140104</v>
      </c>
      <c r="K160" s="85">
        <f aca="true" t="shared" si="33" ref="K160:K174">ROUND(IF(IF(MIN(I160,J160)&lt;F160,MIN(I160,J160)-F160,MIN(I160,J160))&lt;0,0,IF(MIN(I160,J160)&lt;F160,MIN(I160,J160)-F160,MIN(I160,J160))),0)</f>
        <v>123231</v>
      </c>
      <c r="L160" s="79">
        <v>88022</v>
      </c>
      <c r="M160" s="86">
        <f>ROUND(VLOOKUP(B160,גיליון1!A139:B1109,2,0),0)</f>
        <v>175129</v>
      </c>
      <c r="N160" s="108"/>
    </row>
    <row r="161" spans="1:14" ht="15.75">
      <c r="A161">
        <v>157</v>
      </c>
      <c r="B161" s="12">
        <v>580238178</v>
      </c>
      <c r="C161" s="13" t="s">
        <v>500</v>
      </c>
      <c r="D161" s="17" t="s">
        <v>59</v>
      </c>
      <c r="E161" s="6">
        <v>60548.75</v>
      </c>
      <c r="F161" s="6">
        <v>30274</v>
      </c>
      <c r="G161" s="7">
        <f t="shared" si="30"/>
        <v>0.49999380664340715</v>
      </c>
      <c r="H161" s="14">
        <v>64411</v>
      </c>
      <c r="I161" s="15">
        <f t="shared" si="31"/>
        <v>42384.125</v>
      </c>
      <c r="J161" s="15">
        <f t="shared" si="32"/>
        <v>51528.8</v>
      </c>
      <c r="K161" s="85">
        <f t="shared" si="33"/>
        <v>42384</v>
      </c>
      <c r="L161" s="79">
        <v>30274.375</v>
      </c>
      <c r="M161" s="86">
        <f>ROUND(VLOOKUP(B161,גיליון1!A140:B1110,2,0),0)</f>
        <v>64410</v>
      </c>
      <c r="N161" s="108"/>
    </row>
    <row r="162" spans="1:14" ht="15.75">
      <c r="A162" s="3">
        <v>158</v>
      </c>
      <c r="B162" s="12">
        <v>580241644</v>
      </c>
      <c r="C162" s="13" t="s">
        <v>501</v>
      </c>
      <c r="D162" s="13" t="s">
        <v>56</v>
      </c>
      <c r="E162" s="6">
        <v>100090</v>
      </c>
      <c r="F162" s="6">
        <v>70063</v>
      </c>
      <c r="G162" s="7">
        <f t="shared" si="30"/>
        <v>0.7</v>
      </c>
      <c r="H162" s="14">
        <v>96574</v>
      </c>
      <c r="I162" s="15">
        <f t="shared" si="31"/>
        <v>70063</v>
      </c>
      <c r="J162" s="15">
        <f t="shared" si="32"/>
        <v>77259.2</v>
      </c>
      <c r="K162" s="85">
        <f t="shared" si="33"/>
        <v>70063</v>
      </c>
      <c r="L162" s="79">
        <v>70063</v>
      </c>
      <c r="M162" s="86">
        <f>ROUND(VLOOKUP(B162,גיליון1!A141:B1111,2,0),0)</f>
        <v>96574</v>
      </c>
      <c r="N162" s="108"/>
    </row>
    <row r="163" spans="1:14" ht="15.75">
      <c r="A163">
        <v>159</v>
      </c>
      <c r="B163" s="12">
        <v>580245348</v>
      </c>
      <c r="C163" s="13" t="s">
        <v>332</v>
      </c>
      <c r="D163" s="13" t="s">
        <v>56</v>
      </c>
      <c r="E163" s="6">
        <v>47376.5</v>
      </c>
      <c r="F163" s="6">
        <v>33164</v>
      </c>
      <c r="G163" s="7">
        <f t="shared" si="30"/>
        <v>0.7000094983799985</v>
      </c>
      <c r="H163" s="14">
        <v>54788</v>
      </c>
      <c r="I163" s="15">
        <f t="shared" si="31"/>
        <v>33163.549999999996</v>
      </c>
      <c r="J163" s="15">
        <f t="shared" si="32"/>
        <v>43830.4</v>
      </c>
      <c r="K163" s="85">
        <f t="shared" si="33"/>
        <v>0</v>
      </c>
      <c r="L163" s="79">
        <v>33163.549999999996</v>
      </c>
      <c r="M163" s="86">
        <f>ROUND(VLOOKUP(B163,גיליון1!A142:B1112,2,0),0)</f>
        <v>54788</v>
      </c>
      <c r="N163" s="108"/>
    </row>
    <row r="164" spans="1:14" ht="15.75">
      <c r="A164" s="3">
        <v>160</v>
      </c>
      <c r="B164" s="12">
        <v>580245553</v>
      </c>
      <c r="C164" s="13" t="s">
        <v>763</v>
      </c>
      <c r="D164" s="17" t="s">
        <v>59</v>
      </c>
      <c r="E164" s="6">
        <v>9305.25</v>
      </c>
      <c r="F164" s="6">
        <v>4653</v>
      </c>
      <c r="G164" s="7">
        <f t="shared" si="30"/>
        <v>0.5000402998307407</v>
      </c>
      <c r="H164" s="14">
        <v>6648</v>
      </c>
      <c r="I164" s="15">
        <f t="shared" si="31"/>
        <v>6513.674999999999</v>
      </c>
      <c r="J164" s="15">
        <f t="shared" si="32"/>
        <v>5318.400000000001</v>
      </c>
      <c r="K164" s="85">
        <f t="shared" si="33"/>
        <v>5318</v>
      </c>
      <c r="L164" s="79">
        <v>4652.625</v>
      </c>
      <c r="M164" s="86">
        <f>ROUND(VLOOKUP(B164,גיליון1!A143:B1113,2,0),0)</f>
        <v>6648</v>
      </c>
      <c r="N164" s="108"/>
    </row>
    <row r="165" spans="1:14" ht="15.75">
      <c r="A165">
        <v>161</v>
      </c>
      <c r="B165" s="12">
        <v>580245561</v>
      </c>
      <c r="C165" s="13" t="s">
        <v>683</v>
      </c>
      <c r="D165" s="17" t="s">
        <v>59</v>
      </c>
      <c r="E165" s="6">
        <v>16213</v>
      </c>
      <c r="F165" s="6">
        <v>8107</v>
      </c>
      <c r="G165" s="7">
        <f t="shared" si="30"/>
        <v>0.5000308394498242</v>
      </c>
      <c r="H165" s="14">
        <v>26629</v>
      </c>
      <c r="I165" s="15">
        <f t="shared" si="31"/>
        <v>11349.099999999999</v>
      </c>
      <c r="J165" s="15">
        <f t="shared" si="32"/>
        <v>21303.2</v>
      </c>
      <c r="K165" s="85">
        <f t="shared" si="33"/>
        <v>11349</v>
      </c>
      <c r="L165" s="79">
        <v>8106.500000000001</v>
      </c>
      <c r="M165" s="86">
        <f>ROUND(VLOOKUP(B165,גיליון1!A144:B1114,2,0),0)</f>
        <v>26629</v>
      </c>
      <c r="N165" s="108"/>
    </row>
    <row r="166" spans="1:14" ht="15">
      <c r="A166" s="3">
        <v>162</v>
      </c>
      <c r="B166" s="41">
        <v>580245736</v>
      </c>
      <c r="C166" s="42" t="s">
        <v>502</v>
      </c>
      <c r="D166" s="42" t="s">
        <v>68</v>
      </c>
      <c r="E166" s="6">
        <v>70771.25</v>
      </c>
      <c r="F166" s="6">
        <v>35386</v>
      </c>
      <c r="G166" s="7">
        <f t="shared" si="30"/>
        <v>0.500005298761856</v>
      </c>
      <c r="H166" s="14">
        <v>64070</v>
      </c>
      <c r="I166" s="15">
        <f t="shared" si="31"/>
        <v>49539.875</v>
      </c>
      <c r="J166" s="15">
        <f t="shared" si="32"/>
        <v>51256</v>
      </c>
      <c r="K166" s="85">
        <f t="shared" si="33"/>
        <v>49540</v>
      </c>
      <c r="L166" s="79">
        <v>35385.625</v>
      </c>
      <c r="M166" s="86">
        <f>ROUND(VLOOKUP(B166,גיליון1!A145:B1115,2,0),0)</f>
        <v>64070</v>
      </c>
      <c r="N166" s="108"/>
    </row>
    <row r="167" spans="1:14" ht="15.75">
      <c r="A167">
        <v>163</v>
      </c>
      <c r="B167" s="12">
        <v>580247724</v>
      </c>
      <c r="C167" s="13" t="s">
        <v>585</v>
      </c>
      <c r="D167" s="13" t="s">
        <v>56</v>
      </c>
      <c r="E167" s="6">
        <v>54410.75</v>
      </c>
      <c r="F167" s="6">
        <v>33053</v>
      </c>
      <c r="G167" s="7">
        <f t="shared" si="30"/>
        <v>0.6074718690699907</v>
      </c>
      <c r="H167" s="14">
        <v>41316</v>
      </c>
      <c r="I167" s="15">
        <f t="shared" si="31"/>
        <v>38087.524999999994</v>
      </c>
      <c r="J167" s="15">
        <f t="shared" si="32"/>
        <v>33052.8</v>
      </c>
      <c r="K167" s="85">
        <f t="shared" si="33"/>
        <v>0</v>
      </c>
      <c r="L167" s="79">
        <v>33052.92800000001</v>
      </c>
      <c r="M167" s="86">
        <f>ROUND(VLOOKUP(B167,גיליון1!A147:B1117,2,0),0)</f>
        <v>41316</v>
      </c>
      <c r="N167" s="108"/>
    </row>
    <row r="168" spans="1:14" ht="15.75">
      <c r="A168" s="3">
        <v>164</v>
      </c>
      <c r="B168" s="13">
        <v>580248342</v>
      </c>
      <c r="C168" s="13" t="s">
        <v>333</v>
      </c>
      <c r="D168" s="13" t="s">
        <v>70</v>
      </c>
      <c r="E168" s="6">
        <v>175464.25</v>
      </c>
      <c r="F168" s="6">
        <v>88510</v>
      </c>
      <c r="G168" s="7">
        <f t="shared" si="30"/>
        <v>0.5044332392495907</v>
      </c>
      <c r="H168" s="14">
        <v>110637</v>
      </c>
      <c r="I168" s="15">
        <f t="shared" si="31"/>
        <v>122824.97499999999</v>
      </c>
      <c r="J168" s="15">
        <f t="shared" si="32"/>
        <v>88509.6</v>
      </c>
      <c r="K168" s="85">
        <f t="shared" si="33"/>
        <v>0</v>
      </c>
      <c r="L168" s="79">
        <v>88509.6</v>
      </c>
      <c r="M168" s="86">
        <f>ROUND(VLOOKUP(B168,גיליון1!A148:B1118,2,0),0)</f>
        <v>110636</v>
      </c>
      <c r="N168" s="108"/>
    </row>
    <row r="169" spans="1:14" ht="15.75">
      <c r="A169">
        <v>165</v>
      </c>
      <c r="B169" s="37">
        <v>580250942</v>
      </c>
      <c r="C169" s="45" t="s">
        <v>433</v>
      </c>
      <c r="D169" s="46" t="s">
        <v>59</v>
      </c>
      <c r="E169" s="6">
        <v>263542</v>
      </c>
      <c r="F169" s="6">
        <v>131771</v>
      </c>
      <c r="G169" s="7">
        <f t="shared" si="30"/>
        <v>0.5</v>
      </c>
      <c r="H169" s="14">
        <v>269707</v>
      </c>
      <c r="I169" s="15">
        <f t="shared" si="31"/>
        <v>184479.4</v>
      </c>
      <c r="J169" s="15">
        <f t="shared" si="32"/>
        <v>215765.6</v>
      </c>
      <c r="K169" s="85">
        <f t="shared" si="33"/>
        <v>184479</v>
      </c>
      <c r="L169" s="79">
        <v>131771</v>
      </c>
      <c r="M169" s="86">
        <f>ROUND(VLOOKUP(B169,גיליון1!A149:B1119,2,0),0)</f>
        <v>269710</v>
      </c>
      <c r="N169" s="108"/>
    </row>
    <row r="170" spans="1:14" ht="15.75">
      <c r="A170" s="3">
        <v>166</v>
      </c>
      <c r="B170" s="12">
        <v>580251296</v>
      </c>
      <c r="C170" s="13" t="s">
        <v>108</v>
      </c>
      <c r="D170" s="17" t="s">
        <v>59</v>
      </c>
      <c r="E170" s="6">
        <f>792843.25+105340</f>
        <v>898183.25</v>
      </c>
      <c r="F170" s="6">
        <v>458363</v>
      </c>
      <c r="G170" s="7">
        <f t="shared" si="30"/>
        <v>0.510322364617688</v>
      </c>
      <c r="H170" s="14">
        <f>572954+92496</f>
        <v>665450</v>
      </c>
      <c r="I170" s="15">
        <f t="shared" si="31"/>
        <v>628728.2749999999</v>
      </c>
      <c r="J170" s="15">
        <f t="shared" si="32"/>
        <v>532360</v>
      </c>
      <c r="K170" s="85">
        <f t="shared" si="33"/>
        <v>532360</v>
      </c>
      <c r="L170" s="79">
        <v>458363.2</v>
      </c>
      <c r="M170" s="86">
        <f>ROUND(VLOOKUP(B170,גיליון1!A150:B1120,2,0),0)</f>
        <v>572951</v>
      </c>
      <c r="N170" s="108"/>
    </row>
    <row r="171" spans="1:14" ht="15.75">
      <c r="A171">
        <v>167</v>
      </c>
      <c r="B171" s="12">
        <v>580251791</v>
      </c>
      <c r="C171" s="13" t="s">
        <v>334</v>
      </c>
      <c r="D171" s="17" t="s">
        <v>59</v>
      </c>
      <c r="E171" s="6">
        <v>140389.5</v>
      </c>
      <c r="F171" s="6">
        <v>70195</v>
      </c>
      <c r="G171" s="7">
        <f t="shared" si="30"/>
        <v>0.5000017807599572</v>
      </c>
      <c r="H171" s="14">
        <v>190105</v>
      </c>
      <c r="I171" s="15">
        <f t="shared" si="31"/>
        <v>98272.65</v>
      </c>
      <c r="J171" s="15">
        <f t="shared" si="32"/>
        <v>152084</v>
      </c>
      <c r="K171" s="85">
        <f t="shared" si="33"/>
        <v>98273</v>
      </c>
      <c r="L171" s="79">
        <v>70194.75</v>
      </c>
      <c r="M171" s="86">
        <f>ROUND(VLOOKUP(B171,גיליון1!A151:B1121,2,0),0)</f>
        <v>190106</v>
      </c>
      <c r="N171" s="108"/>
    </row>
    <row r="172" spans="1:14" ht="15.75">
      <c r="A172" s="3">
        <v>168</v>
      </c>
      <c r="B172" s="37">
        <v>580251957</v>
      </c>
      <c r="C172" s="12" t="s">
        <v>624</v>
      </c>
      <c r="D172" s="13" t="s">
        <v>68</v>
      </c>
      <c r="E172" s="6">
        <v>51473.5</v>
      </c>
      <c r="F172" s="6">
        <v>25737</v>
      </c>
      <c r="G172" s="7">
        <f t="shared" si="30"/>
        <v>0.5000048568680971</v>
      </c>
      <c r="H172" s="14">
        <v>50500</v>
      </c>
      <c r="I172" s="15">
        <f t="shared" si="31"/>
        <v>36031.45</v>
      </c>
      <c r="J172" s="15">
        <f t="shared" si="32"/>
        <v>40400</v>
      </c>
      <c r="K172" s="85">
        <f t="shared" si="33"/>
        <v>36031</v>
      </c>
      <c r="L172" s="79">
        <v>25736.75</v>
      </c>
      <c r="M172" s="86">
        <f>ROUND(VLOOKUP(B172,גיליון1!A152:B1122,2,0),0)</f>
        <v>50500</v>
      </c>
      <c r="N172" s="108"/>
    </row>
    <row r="173" spans="1:14" ht="15.75">
      <c r="A173">
        <v>169</v>
      </c>
      <c r="B173" s="12">
        <v>580252740</v>
      </c>
      <c r="C173" s="13" t="s">
        <v>109</v>
      </c>
      <c r="D173" s="17" t="s">
        <v>59</v>
      </c>
      <c r="E173" s="6">
        <v>360621.25</v>
      </c>
      <c r="F173" s="6">
        <v>180311</v>
      </c>
      <c r="G173" s="7">
        <f t="shared" si="30"/>
        <v>0.500001039872165</v>
      </c>
      <c r="H173" s="14">
        <v>300781</v>
      </c>
      <c r="I173" s="15">
        <f t="shared" si="31"/>
        <v>252434.87499999997</v>
      </c>
      <c r="J173" s="15">
        <f t="shared" si="32"/>
        <v>240624.80000000002</v>
      </c>
      <c r="K173" s="85">
        <f t="shared" si="33"/>
        <v>240625</v>
      </c>
      <c r="L173" s="79">
        <v>180310.625</v>
      </c>
      <c r="M173" s="86">
        <f>ROUND(VLOOKUP(B173,גיליון1!A153:B1123,2,0),0)</f>
        <v>300783</v>
      </c>
      <c r="N173" s="108"/>
    </row>
    <row r="174" spans="1:14" ht="15.75">
      <c r="A174" s="3">
        <v>170</v>
      </c>
      <c r="B174" s="12">
        <v>580253375</v>
      </c>
      <c r="C174" s="13" t="s">
        <v>434</v>
      </c>
      <c r="D174" s="17" t="s">
        <v>59</v>
      </c>
      <c r="E174" s="6">
        <v>15063</v>
      </c>
      <c r="F174" s="6">
        <v>7532</v>
      </c>
      <c r="G174" s="7">
        <f t="shared" si="30"/>
        <v>0.500033193918874</v>
      </c>
      <c r="H174" s="14">
        <v>13931</v>
      </c>
      <c r="I174" s="15">
        <f t="shared" si="31"/>
        <v>10544.099999999999</v>
      </c>
      <c r="J174" s="15">
        <f t="shared" si="32"/>
        <v>11144.800000000001</v>
      </c>
      <c r="K174" s="85">
        <f t="shared" si="33"/>
        <v>10544</v>
      </c>
      <c r="L174" s="79">
        <v>7531.5</v>
      </c>
      <c r="M174" s="86">
        <f>ROUND(VLOOKUP(B174,גיליון1!A154:B1124,2,0),0)</f>
        <v>13931</v>
      </c>
      <c r="N174" s="108"/>
    </row>
    <row r="175" spans="1:14" ht="15.75">
      <c r="A175">
        <v>171</v>
      </c>
      <c r="B175" s="46">
        <v>580253532</v>
      </c>
      <c r="C175" s="124" t="s">
        <v>1067</v>
      </c>
      <c r="D175" s="13"/>
      <c r="E175" s="116">
        <v>4753</v>
      </c>
      <c r="F175" s="116">
        <v>2129</v>
      </c>
      <c r="G175" s="117"/>
      <c r="H175" s="118">
        <v>4257</v>
      </c>
      <c r="I175" s="15"/>
      <c r="J175" s="15"/>
      <c r="K175" s="110"/>
      <c r="L175" s="79"/>
      <c r="M175" s="86"/>
      <c r="N175" s="108"/>
    </row>
    <row r="176" spans="1:14" ht="15.75">
      <c r="A176" s="3">
        <v>172</v>
      </c>
      <c r="B176" s="13">
        <v>580253714</v>
      </c>
      <c r="C176" s="13" t="s">
        <v>110</v>
      </c>
      <c r="D176" s="13" t="s">
        <v>64</v>
      </c>
      <c r="E176" s="6">
        <v>105385</v>
      </c>
      <c r="F176" s="6">
        <v>52693</v>
      </c>
      <c r="G176" s="7">
        <f aca="true" t="shared" si="34" ref="G176:G190">F176/E176</f>
        <v>0.5000047445082317</v>
      </c>
      <c r="H176" s="14">
        <v>57163</v>
      </c>
      <c r="I176" s="15">
        <f aca="true" t="shared" si="35" ref="I176:I190">E176*$I$2</f>
        <v>73769.5</v>
      </c>
      <c r="J176" s="15">
        <f aca="true" t="shared" si="36" ref="J176:J190">H176*$J$2</f>
        <v>45730.4</v>
      </c>
      <c r="K176" s="85">
        <f aca="true" t="shared" si="37" ref="K176:K190">ROUND(IF(IF(MIN(I176,J176)&lt;F176,MIN(I176,J176)-F176,MIN(I176,J176))&lt;0,0,IF(MIN(I176,J176)&lt;F176,MIN(I176,J176)-F176,MIN(I176,J176))),0)</f>
        <v>0</v>
      </c>
      <c r="L176" s="79">
        <v>52692.5</v>
      </c>
      <c r="M176" s="86">
        <f>ROUND(VLOOKUP(B176,גיליון1!A155:B1125,2,0),0)</f>
        <v>57162</v>
      </c>
      <c r="N176" s="108"/>
    </row>
    <row r="177" spans="1:14" ht="15.75">
      <c r="A177">
        <v>173</v>
      </c>
      <c r="B177" s="12">
        <v>580254019</v>
      </c>
      <c r="C177" s="13" t="s">
        <v>730</v>
      </c>
      <c r="D177" s="17" t="s">
        <v>59</v>
      </c>
      <c r="E177" s="6">
        <v>13654</v>
      </c>
      <c r="F177" s="6">
        <v>6827</v>
      </c>
      <c r="G177" s="7">
        <f t="shared" si="34"/>
        <v>0.5</v>
      </c>
      <c r="H177" s="14">
        <v>33630</v>
      </c>
      <c r="I177" s="15">
        <f t="shared" si="35"/>
        <v>9557.8</v>
      </c>
      <c r="J177" s="15">
        <f t="shared" si="36"/>
        <v>26904</v>
      </c>
      <c r="K177" s="85">
        <f t="shared" si="37"/>
        <v>9558</v>
      </c>
      <c r="L177" s="79">
        <v>6827</v>
      </c>
      <c r="M177" s="86">
        <f>ROUND(VLOOKUP(B177,גיליון1!A156:B1126,2,0),0)</f>
        <v>33630</v>
      </c>
      <c r="N177" s="108"/>
    </row>
    <row r="178" spans="1:14" ht="15.75">
      <c r="A178" s="3">
        <v>174</v>
      </c>
      <c r="B178" s="13">
        <v>580254357</v>
      </c>
      <c r="C178" s="13" t="s">
        <v>111</v>
      </c>
      <c r="D178" s="13" t="s">
        <v>70</v>
      </c>
      <c r="E178" s="6">
        <v>146803</v>
      </c>
      <c r="F178" s="6">
        <v>102762.09999999999</v>
      </c>
      <c r="G178" s="7">
        <f t="shared" si="34"/>
        <v>0.7</v>
      </c>
      <c r="H178" s="14">
        <v>141873</v>
      </c>
      <c r="I178" s="15">
        <f t="shared" si="35"/>
        <v>102762.09999999999</v>
      </c>
      <c r="J178" s="15">
        <f t="shared" si="36"/>
        <v>113498.40000000001</v>
      </c>
      <c r="K178" s="85">
        <f t="shared" si="37"/>
        <v>102762</v>
      </c>
      <c r="L178" s="79">
        <v>102762.09999999999</v>
      </c>
      <c r="M178" s="86">
        <f>ROUND(VLOOKUP(B178,גיליון1!A157:B1127,2,0),0)</f>
        <v>141870</v>
      </c>
      <c r="N178" s="108"/>
    </row>
    <row r="179" spans="1:14" ht="15.75">
      <c r="A179">
        <v>175</v>
      </c>
      <c r="B179" s="12">
        <v>580255107</v>
      </c>
      <c r="C179" s="13" t="s">
        <v>260</v>
      </c>
      <c r="D179" s="17" t="s">
        <v>59</v>
      </c>
      <c r="E179" s="6">
        <v>57843.25</v>
      </c>
      <c r="F179" s="6">
        <v>40490</v>
      </c>
      <c r="G179" s="7">
        <f t="shared" si="34"/>
        <v>0.6999952457719786</v>
      </c>
      <c r="H179" s="14">
        <v>60691</v>
      </c>
      <c r="I179" s="15">
        <f t="shared" si="35"/>
        <v>40490.274999999994</v>
      </c>
      <c r="J179" s="15">
        <f t="shared" si="36"/>
        <v>48552.8</v>
      </c>
      <c r="K179" s="85">
        <f t="shared" si="37"/>
        <v>40490</v>
      </c>
      <c r="L179" s="79">
        <v>40490.274999999994</v>
      </c>
      <c r="M179" s="86">
        <f>ROUND(VLOOKUP(B179,גיליון1!A158:B1128,2,0),0)</f>
        <v>60690</v>
      </c>
      <c r="N179" s="108"/>
    </row>
    <row r="180" spans="1:14" ht="15.75">
      <c r="A180" s="3">
        <v>176</v>
      </c>
      <c r="B180" s="13">
        <v>580255149</v>
      </c>
      <c r="C180" s="13" t="s">
        <v>335</v>
      </c>
      <c r="D180" s="13" t="s">
        <v>64</v>
      </c>
      <c r="E180" s="6">
        <v>10515.25</v>
      </c>
      <c r="F180" s="6">
        <v>4206</v>
      </c>
      <c r="G180" s="7">
        <f t="shared" si="34"/>
        <v>0.3999904900026153</v>
      </c>
      <c r="H180" s="14">
        <v>10578</v>
      </c>
      <c r="I180" s="15">
        <f t="shared" si="35"/>
        <v>7360.674999999999</v>
      </c>
      <c r="J180" s="15">
        <f t="shared" si="36"/>
        <v>8462.4</v>
      </c>
      <c r="K180" s="85">
        <f t="shared" si="37"/>
        <v>7361</v>
      </c>
      <c r="L180" s="79">
        <v>4206.1</v>
      </c>
      <c r="M180" s="86">
        <f>ROUND(VLOOKUP(B180,גיליון1!A159:B1129,2,0),0)</f>
        <v>10578</v>
      </c>
      <c r="N180" s="108"/>
    </row>
    <row r="181" spans="1:14" ht="15.75">
      <c r="A181">
        <v>177</v>
      </c>
      <c r="B181" s="12">
        <v>580255842</v>
      </c>
      <c r="C181" s="13" t="s">
        <v>112</v>
      </c>
      <c r="D181" s="17" t="s">
        <v>59</v>
      </c>
      <c r="E181" s="6">
        <v>21477.5</v>
      </c>
      <c r="F181" s="6">
        <v>13566</v>
      </c>
      <c r="G181" s="7">
        <f t="shared" si="34"/>
        <v>0.6316377604469794</v>
      </c>
      <c r="H181" s="14">
        <v>16958</v>
      </c>
      <c r="I181" s="15">
        <f t="shared" si="35"/>
        <v>15034.249999999998</v>
      </c>
      <c r="J181" s="15">
        <f t="shared" si="36"/>
        <v>13566.400000000001</v>
      </c>
      <c r="K181" s="85">
        <f t="shared" si="37"/>
        <v>13566</v>
      </c>
      <c r="L181" s="79">
        <v>13566.400000000001</v>
      </c>
      <c r="M181" s="86">
        <f>ROUND(VLOOKUP(B181,גיליון1!A160:B1130,2,0),0)</f>
        <v>16958</v>
      </c>
      <c r="N181" s="108"/>
    </row>
    <row r="182" spans="1:14" ht="15.75">
      <c r="A182" s="3">
        <v>178</v>
      </c>
      <c r="B182" s="12">
        <v>580258085</v>
      </c>
      <c r="C182" s="13" t="s">
        <v>336</v>
      </c>
      <c r="D182" s="13" t="s">
        <v>56</v>
      </c>
      <c r="E182" s="6">
        <v>93845</v>
      </c>
      <c r="F182" s="6">
        <v>44401</v>
      </c>
      <c r="G182" s="7">
        <f t="shared" si="34"/>
        <v>0.4731312270232831</v>
      </c>
      <c r="H182" s="14">
        <v>80540</v>
      </c>
      <c r="I182" s="15">
        <f t="shared" si="35"/>
        <v>65691.5</v>
      </c>
      <c r="J182" s="15">
        <f t="shared" si="36"/>
        <v>64432</v>
      </c>
      <c r="K182" s="85">
        <f t="shared" si="37"/>
        <v>64432</v>
      </c>
      <c r="L182" s="79">
        <v>44401.25</v>
      </c>
      <c r="M182" s="86">
        <f>ROUND(VLOOKUP(B182,גיליון1!A161:B1131,2,0),0)</f>
        <v>80538</v>
      </c>
      <c r="N182" s="108"/>
    </row>
    <row r="183" spans="1:14" ht="15.75">
      <c r="A183">
        <v>179</v>
      </c>
      <c r="B183" s="13">
        <v>580258119</v>
      </c>
      <c r="C183" s="13" t="s">
        <v>503</v>
      </c>
      <c r="D183" s="13" t="s">
        <v>90</v>
      </c>
      <c r="E183" s="6">
        <v>4640.75</v>
      </c>
      <c r="F183" s="6">
        <v>2320</v>
      </c>
      <c r="G183" s="7">
        <f t="shared" si="34"/>
        <v>0.49991919409578195</v>
      </c>
      <c r="H183" s="14">
        <v>3847</v>
      </c>
      <c r="I183" s="15">
        <f t="shared" si="35"/>
        <v>3248.5249999999996</v>
      </c>
      <c r="J183" s="15">
        <f t="shared" si="36"/>
        <v>3077.6000000000004</v>
      </c>
      <c r="K183" s="85">
        <f t="shared" si="37"/>
        <v>3078</v>
      </c>
      <c r="L183" s="79">
        <v>2320.375</v>
      </c>
      <c r="M183" s="86">
        <f>ROUND(VLOOKUP(B183,גיליון1!A162:B1132,2,0),0)</f>
        <v>3847</v>
      </c>
      <c r="N183" s="108"/>
    </row>
    <row r="184" spans="1:14" ht="15">
      <c r="A184" s="3">
        <v>180</v>
      </c>
      <c r="B184" s="18">
        <v>580258952</v>
      </c>
      <c r="C184" s="4" t="s">
        <v>113</v>
      </c>
      <c r="D184" s="4" t="s">
        <v>68</v>
      </c>
      <c r="E184" s="6">
        <v>52649.600000000006</v>
      </c>
      <c r="F184" s="6">
        <v>21060</v>
      </c>
      <c r="G184" s="7">
        <f t="shared" si="34"/>
        <v>0.4000030389594602</v>
      </c>
      <c r="H184" s="14">
        <v>49487</v>
      </c>
      <c r="I184" s="15">
        <f t="shared" si="35"/>
        <v>36854.72</v>
      </c>
      <c r="J184" s="15">
        <f t="shared" si="36"/>
        <v>39589.600000000006</v>
      </c>
      <c r="K184" s="85">
        <f t="shared" si="37"/>
        <v>36855</v>
      </c>
      <c r="L184" s="79">
        <v>21059.840000000004</v>
      </c>
      <c r="M184" s="86">
        <f>ROUND(VLOOKUP(B184,גיליון1!A163:B1133,2,0),0)</f>
        <v>49487</v>
      </c>
      <c r="N184" s="108"/>
    </row>
    <row r="185" spans="1:14" ht="15">
      <c r="A185">
        <v>181</v>
      </c>
      <c r="B185" s="42">
        <v>580259075</v>
      </c>
      <c r="C185" s="42" t="s">
        <v>586</v>
      </c>
      <c r="D185" s="42" t="s">
        <v>90</v>
      </c>
      <c r="E185" s="6">
        <v>59911.75</v>
      </c>
      <c r="F185" s="6">
        <v>41938</v>
      </c>
      <c r="G185" s="7">
        <f t="shared" si="34"/>
        <v>0.6999962444762505</v>
      </c>
      <c r="H185" s="14">
        <v>62808</v>
      </c>
      <c r="I185" s="15">
        <f t="shared" si="35"/>
        <v>41938.225</v>
      </c>
      <c r="J185" s="15">
        <f t="shared" si="36"/>
        <v>50246.4</v>
      </c>
      <c r="K185" s="85">
        <f t="shared" si="37"/>
        <v>41938</v>
      </c>
      <c r="L185" s="79">
        <v>41938.225</v>
      </c>
      <c r="M185" s="86">
        <f>ROUND(VLOOKUP(B185,גיליון1!A164:B1134,2,0),0)</f>
        <v>62806</v>
      </c>
      <c r="N185" s="108"/>
    </row>
    <row r="186" spans="1:14" ht="15.75">
      <c r="A186" s="3">
        <v>182</v>
      </c>
      <c r="B186" s="12">
        <v>580259109</v>
      </c>
      <c r="C186" s="13" t="s">
        <v>685</v>
      </c>
      <c r="D186" s="17" t="s">
        <v>59</v>
      </c>
      <c r="E186" s="6">
        <v>491184.5</v>
      </c>
      <c r="F186" s="6">
        <v>245592</v>
      </c>
      <c r="G186" s="7">
        <f t="shared" si="34"/>
        <v>0.49999949102628444</v>
      </c>
      <c r="H186" s="14">
        <v>511920</v>
      </c>
      <c r="I186" s="15">
        <f t="shared" si="35"/>
        <v>343829.14999999997</v>
      </c>
      <c r="J186" s="15">
        <f t="shared" si="36"/>
        <v>409536</v>
      </c>
      <c r="K186" s="85">
        <f t="shared" si="37"/>
        <v>343829</v>
      </c>
      <c r="L186" s="79">
        <v>245592.25000000003</v>
      </c>
      <c r="M186" s="86">
        <f>ROUND(VLOOKUP(B186,גיליון1!A165:B1135,2,0),0)</f>
        <v>511912</v>
      </c>
      <c r="N186" s="108"/>
    </row>
    <row r="187" spans="1:14" ht="15.75">
      <c r="A187">
        <v>183</v>
      </c>
      <c r="B187" s="12">
        <v>580262251</v>
      </c>
      <c r="C187" s="13" t="s">
        <v>114</v>
      </c>
      <c r="D187" s="13" t="s">
        <v>56</v>
      </c>
      <c r="E187" s="6">
        <v>220107.5</v>
      </c>
      <c r="F187" s="6">
        <v>154075</v>
      </c>
      <c r="G187" s="7">
        <f t="shared" si="34"/>
        <v>0.699998864191361</v>
      </c>
      <c r="H187" s="14">
        <v>238159</v>
      </c>
      <c r="I187" s="15">
        <f t="shared" si="35"/>
        <v>154075.25</v>
      </c>
      <c r="J187" s="15">
        <f t="shared" si="36"/>
        <v>190527.2</v>
      </c>
      <c r="K187" s="85">
        <f t="shared" si="37"/>
        <v>154075</v>
      </c>
      <c r="L187" s="79">
        <v>154075.25</v>
      </c>
      <c r="M187" s="86">
        <f>ROUND(VLOOKUP(B187,גיליון1!A166:B1136,2,0),0)</f>
        <v>238153</v>
      </c>
      <c r="N187" s="108"/>
    </row>
    <row r="188" spans="1:14" ht="15.75">
      <c r="A188" s="3">
        <v>184</v>
      </c>
      <c r="B188" s="53">
        <v>580262582</v>
      </c>
      <c r="C188" s="55" t="s">
        <v>654</v>
      </c>
      <c r="D188" s="55" t="s">
        <v>64</v>
      </c>
      <c r="E188" s="6">
        <v>46061.5</v>
      </c>
      <c r="F188" s="6">
        <v>31524</v>
      </c>
      <c r="G188" s="7">
        <f t="shared" si="34"/>
        <v>0.6843893490225025</v>
      </c>
      <c r="H188" s="14">
        <v>39405</v>
      </c>
      <c r="I188" s="15">
        <f t="shared" si="35"/>
        <v>32243.05</v>
      </c>
      <c r="J188" s="15">
        <f t="shared" si="36"/>
        <v>31524</v>
      </c>
      <c r="K188" s="85">
        <f t="shared" si="37"/>
        <v>31524</v>
      </c>
      <c r="L188" s="79">
        <v>31524.152000000002</v>
      </c>
      <c r="M188" s="86">
        <f>ROUND(VLOOKUP(B188,גיליון1!A167:B1137,2,0),0)</f>
        <v>39405</v>
      </c>
      <c r="N188" s="108"/>
    </row>
    <row r="189" spans="1:14" ht="15">
      <c r="A189">
        <v>185</v>
      </c>
      <c r="B189" s="18">
        <v>580264851</v>
      </c>
      <c r="C189" s="4" t="s">
        <v>115</v>
      </c>
      <c r="D189" s="4" t="s">
        <v>68</v>
      </c>
      <c r="E189" s="6">
        <v>38055</v>
      </c>
      <c r="F189" s="6">
        <v>26639</v>
      </c>
      <c r="G189" s="7">
        <f t="shared" si="34"/>
        <v>0.7000131388779398</v>
      </c>
      <c r="H189" s="14">
        <v>56378</v>
      </c>
      <c r="I189" s="15">
        <f t="shared" si="35"/>
        <v>26638.5</v>
      </c>
      <c r="J189" s="15">
        <f t="shared" si="36"/>
        <v>45102.4</v>
      </c>
      <c r="K189" s="85">
        <f t="shared" si="37"/>
        <v>0</v>
      </c>
      <c r="L189" s="79">
        <v>26638.5</v>
      </c>
      <c r="M189" s="86">
        <f>ROUND(VLOOKUP(B189,גיליון1!A168:B1138,2,0),0)</f>
        <v>56378</v>
      </c>
      <c r="N189" s="108"/>
    </row>
    <row r="190" spans="1:14" ht="15.75">
      <c r="A190" s="3">
        <v>186</v>
      </c>
      <c r="B190" s="12">
        <v>580270544</v>
      </c>
      <c r="C190" s="13" t="s">
        <v>504</v>
      </c>
      <c r="D190" s="13" t="s">
        <v>68</v>
      </c>
      <c r="E190" s="6">
        <v>20224</v>
      </c>
      <c r="F190" s="6">
        <v>8750</v>
      </c>
      <c r="G190" s="7">
        <f t="shared" si="34"/>
        <v>0.4326542721518987</v>
      </c>
      <c r="H190" s="14">
        <v>9868</v>
      </c>
      <c r="I190" s="15">
        <f t="shared" si="35"/>
        <v>14156.8</v>
      </c>
      <c r="J190" s="15">
        <f t="shared" si="36"/>
        <v>7894.400000000001</v>
      </c>
      <c r="K190" s="85">
        <f t="shared" si="37"/>
        <v>0</v>
      </c>
      <c r="L190" s="79">
        <v>8750</v>
      </c>
      <c r="M190" s="86">
        <f>ROUND(VLOOKUP(B190,גיליון1!A169:B1139,2,0),0)</f>
        <v>9868</v>
      </c>
      <c r="N190" s="108"/>
    </row>
    <row r="191" spans="1:14" ht="15.75">
      <c r="A191">
        <v>187</v>
      </c>
      <c r="B191" s="41">
        <v>580271013</v>
      </c>
      <c r="C191" s="41" t="s">
        <v>1094</v>
      </c>
      <c r="D191" s="13"/>
      <c r="E191" s="116"/>
      <c r="F191" s="116"/>
      <c r="G191" s="117"/>
      <c r="H191" s="118">
        <v>22401</v>
      </c>
      <c r="I191" s="15"/>
      <c r="J191" s="15"/>
      <c r="K191" s="110"/>
      <c r="L191" s="79"/>
      <c r="M191" s="86"/>
      <c r="N191" s="108"/>
    </row>
    <row r="192" spans="1:14" ht="15.75">
      <c r="A192" s="3">
        <v>188</v>
      </c>
      <c r="B192" s="12">
        <v>580272128</v>
      </c>
      <c r="C192" s="12" t="s">
        <v>625</v>
      </c>
      <c r="D192" s="13" t="s">
        <v>59</v>
      </c>
      <c r="E192" s="6">
        <v>13540.75</v>
      </c>
      <c r="F192" s="6">
        <v>6770</v>
      </c>
      <c r="G192" s="7">
        <f>F192/E192</f>
        <v>0.4999723058176246</v>
      </c>
      <c r="H192" s="14">
        <v>16120</v>
      </c>
      <c r="I192" s="15">
        <f>E192*$I$2</f>
        <v>9478.525</v>
      </c>
      <c r="J192" s="15">
        <f>H192*$J$2</f>
        <v>12896</v>
      </c>
      <c r="K192" s="85">
        <f>ROUND(IF(IF(MIN(I192,J192)&lt;F192,MIN(I192,J192)-F192,MIN(I192,J192))&lt;0,0,IF(MIN(I192,J192)&lt;F192,MIN(I192,J192)-F192,MIN(I192,J192))),0)</f>
        <v>9479</v>
      </c>
      <c r="L192" s="79">
        <v>6770.375</v>
      </c>
      <c r="M192" s="86">
        <f>ROUND(VLOOKUP(B192,גיליון1!A170:B1140,2,0),0)</f>
        <v>16120</v>
      </c>
      <c r="N192" s="108"/>
    </row>
    <row r="193" spans="1:14" ht="15.75">
      <c r="A193">
        <v>189</v>
      </c>
      <c r="B193" s="13">
        <v>580272177</v>
      </c>
      <c r="C193" s="13" t="s">
        <v>261</v>
      </c>
      <c r="D193" s="13" t="s">
        <v>64</v>
      </c>
      <c r="E193" s="6">
        <v>72666.5</v>
      </c>
      <c r="F193" s="6">
        <v>50866.549999999996</v>
      </c>
      <c r="G193" s="7">
        <f>F193/E193</f>
        <v>0.7</v>
      </c>
      <c r="H193" s="14">
        <v>63780</v>
      </c>
      <c r="I193" s="15">
        <f>E193*$I$2</f>
        <v>50866.549999999996</v>
      </c>
      <c r="J193" s="15">
        <f>H193*$J$2</f>
        <v>51024</v>
      </c>
      <c r="K193" s="85">
        <f>ROUND(IF(IF(MIN(I193,J193)&lt;F193,MIN(I193,J193)-F193,MIN(I193,J193))&lt;0,0,IF(MIN(I193,J193)&lt;F193,MIN(I193,J193)-F193,MIN(I193,J193))),0)</f>
        <v>50867</v>
      </c>
      <c r="L193" s="79">
        <v>50866.549999999996</v>
      </c>
      <c r="M193" s="86">
        <f>ROUND(VLOOKUP(B193,גיליון1!A171:B1141,2,0),0)</f>
        <v>63780</v>
      </c>
      <c r="N193" s="108"/>
    </row>
    <row r="194" spans="1:14" ht="15">
      <c r="A194" s="3">
        <v>190</v>
      </c>
      <c r="B194" s="42">
        <v>580273696</v>
      </c>
      <c r="C194" s="42" t="s">
        <v>337</v>
      </c>
      <c r="D194" s="42" t="s">
        <v>90</v>
      </c>
      <c r="E194" s="6">
        <v>111314.25</v>
      </c>
      <c r="F194" s="6">
        <v>55657</v>
      </c>
      <c r="G194" s="7">
        <f>F194/E194</f>
        <v>0.4999988770530278</v>
      </c>
      <c r="H194" s="14">
        <v>159036</v>
      </c>
      <c r="I194" s="15">
        <f>E194*$I$2</f>
        <v>77919.97499999999</v>
      </c>
      <c r="J194" s="15">
        <f>H194*$J$2</f>
        <v>127228.8</v>
      </c>
      <c r="K194" s="85">
        <f>ROUND(IF(IF(MIN(I194,J194)&lt;F194,MIN(I194,J194)-F194,MIN(I194,J194))&lt;0,0,IF(MIN(I194,J194)&lt;F194,MIN(I194,J194)-F194,MIN(I194,J194))),0)</f>
        <v>77920</v>
      </c>
      <c r="L194" s="79">
        <v>55657.125</v>
      </c>
      <c r="M194" s="86">
        <f>ROUND(VLOOKUP(B194,גיליון1!A172:B1142,2,0),0)</f>
        <v>159033</v>
      </c>
      <c r="N194" s="108"/>
    </row>
    <row r="195" spans="1:14" ht="15.75">
      <c r="A195">
        <v>191</v>
      </c>
      <c r="B195" s="12">
        <v>580274173</v>
      </c>
      <c r="C195" s="13" t="s">
        <v>116</v>
      </c>
      <c r="D195" s="13" t="s">
        <v>56</v>
      </c>
      <c r="E195" s="6">
        <v>790672</v>
      </c>
      <c r="F195" s="6">
        <v>553470</v>
      </c>
      <c r="G195" s="7">
        <f>F195/E195</f>
        <v>0.6999994941012202</v>
      </c>
      <c r="H195" s="14">
        <f>1187638+319631</f>
        <v>1507269</v>
      </c>
      <c r="I195" s="15">
        <f>E195*$I$2</f>
        <v>553470.3999999999</v>
      </c>
      <c r="J195" s="15">
        <f>H195*$J$2</f>
        <v>1205815.2</v>
      </c>
      <c r="K195" s="85">
        <f>ROUND(IF(IF(MIN(I195,J195)&lt;F195,MIN(I195,J195)-F195,MIN(I195,J195))&lt;0,0,IF(MIN(I195,J195)&lt;F195,MIN(I195,J195)-F195,MIN(I195,J195))),0)</f>
        <v>553470</v>
      </c>
      <c r="L195" s="79">
        <v>553470.3999999999</v>
      </c>
      <c r="M195" s="86">
        <f>ROUND(VLOOKUP(B195,גיליון1!A173:B1143,2,0),0)</f>
        <v>1187630</v>
      </c>
      <c r="N195" s="108"/>
    </row>
    <row r="196" spans="1:14" ht="15.75">
      <c r="A196" s="3">
        <v>192</v>
      </c>
      <c r="B196" s="120">
        <v>580275345</v>
      </c>
      <c r="C196" s="120" t="s">
        <v>1068</v>
      </c>
      <c r="D196" s="13"/>
      <c r="E196" s="116">
        <v>16274</v>
      </c>
      <c r="F196" s="116">
        <v>11392</v>
      </c>
      <c r="G196" s="117"/>
      <c r="H196" s="118">
        <v>27199</v>
      </c>
      <c r="I196" s="15"/>
      <c r="J196" s="15"/>
      <c r="K196" s="110"/>
      <c r="L196" s="79"/>
      <c r="M196" s="86"/>
      <c r="N196" s="108"/>
    </row>
    <row r="197" spans="1:14" ht="15.75">
      <c r="A197">
        <v>193</v>
      </c>
      <c r="B197" s="12">
        <v>580275675</v>
      </c>
      <c r="C197" s="12" t="s">
        <v>626</v>
      </c>
      <c r="D197" s="13" t="s">
        <v>59</v>
      </c>
      <c r="E197" s="6">
        <v>14655</v>
      </c>
      <c r="F197" s="6">
        <v>7328</v>
      </c>
      <c r="G197" s="7">
        <f aca="true" t="shared" si="38" ref="G197:G228">F197/E197</f>
        <v>0.5000341180484477</v>
      </c>
      <c r="H197" s="14">
        <v>8239</v>
      </c>
      <c r="I197" s="15">
        <f aca="true" t="shared" si="39" ref="I197:I228">E197*$I$2</f>
        <v>10258.5</v>
      </c>
      <c r="J197" s="15">
        <f aca="true" t="shared" si="40" ref="J197:J228">H197*$J$2</f>
        <v>6591.200000000001</v>
      </c>
      <c r="K197" s="85">
        <f aca="true" t="shared" si="41" ref="K197:K228">ROUND(IF(IF(MIN(I197,J197)&lt;F197,MIN(I197,J197)-F197,MIN(I197,J197))&lt;0,0,IF(MIN(I197,J197)&lt;F197,MIN(I197,J197)-F197,MIN(I197,J197))),0)</f>
        <v>0</v>
      </c>
      <c r="L197" s="79">
        <v>7327.5</v>
      </c>
      <c r="M197" s="86">
        <f>ROUND(VLOOKUP(B197,גיליון1!A175:B1145,2,0),0)</f>
        <v>8239</v>
      </c>
      <c r="N197" s="108"/>
    </row>
    <row r="198" spans="1:14" ht="15.75">
      <c r="A198" s="3">
        <v>194</v>
      </c>
      <c r="B198" s="12">
        <v>580278315</v>
      </c>
      <c r="C198" s="13" t="s">
        <v>338</v>
      </c>
      <c r="D198" s="17" t="s">
        <v>59</v>
      </c>
      <c r="E198" s="6">
        <v>54632</v>
      </c>
      <c r="F198" s="6">
        <v>27316</v>
      </c>
      <c r="G198" s="7">
        <f t="shared" si="38"/>
        <v>0.5</v>
      </c>
      <c r="H198" s="14">
        <v>45439</v>
      </c>
      <c r="I198" s="15">
        <f t="shared" si="39"/>
        <v>38242.399999999994</v>
      </c>
      <c r="J198" s="15">
        <f t="shared" si="40"/>
        <v>36351.200000000004</v>
      </c>
      <c r="K198" s="85">
        <f t="shared" si="41"/>
        <v>36351</v>
      </c>
      <c r="L198" s="79">
        <v>27316</v>
      </c>
      <c r="M198" s="86">
        <f>ROUND(VLOOKUP(B198,גיליון1!A176:B1146,2,0),0)</f>
        <v>45439</v>
      </c>
      <c r="N198" s="108"/>
    </row>
    <row r="199" spans="1:14" ht="15.75">
      <c r="A199">
        <v>195</v>
      </c>
      <c r="B199" s="12">
        <v>580278463</v>
      </c>
      <c r="C199" s="13" t="s">
        <v>117</v>
      </c>
      <c r="D199" s="17" t="s">
        <v>59</v>
      </c>
      <c r="E199" s="6">
        <v>581689.25</v>
      </c>
      <c r="F199" s="6">
        <v>407182</v>
      </c>
      <c r="G199" s="7">
        <f t="shared" si="38"/>
        <v>0.699999183412793</v>
      </c>
      <c r="H199" s="14">
        <v>637875</v>
      </c>
      <c r="I199" s="15">
        <f t="shared" si="39"/>
        <v>407182.475</v>
      </c>
      <c r="J199" s="15">
        <f t="shared" si="40"/>
        <v>510300</v>
      </c>
      <c r="K199" s="85">
        <f t="shared" si="41"/>
        <v>407182</v>
      </c>
      <c r="L199" s="79">
        <v>407182.475</v>
      </c>
      <c r="M199" s="86">
        <f>ROUND(VLOOKUP(B199,גיליון1!A177:B1147,2,0),0)</f>
        <v>637858</v>
      </c>
      <c r="N199" s="108"/>
    </row>
    <row r="200" spans="1:14" ht="15">
      <c r="A200" s="3">
        <v>196</v>
      </c>
      <c r="B200" s="22">
        <v>580279388</v>
      </c>
      <c r="C200" s="17" t="s">
        <v>118</v>
      </c>
      <c r="D200" s="17" t="s">
        <v>59</v>
      </c>
      <c r="E200" s="6">
        <v>78394</v>
      </c>
      <c r="F200" s="6">
        <v>54876</v>
      </c>
      <c r="G200" s="7">
        <f t="shared" si="38"/>
        <v>0.7000025512156542</v>
      </c>
      <c r="H200" s="14">
        <v>71715</v>
      </c>
      <c r="I200" s="15">
        <f t="shared" si="39"/>
        <v>54875.799999999996</v>
      </c>
      <c r="J200" s="15">
        <f t="shared" si="40"/>
        <v>57372</v>
      </c>
      <c r="K200" s="85">
        <f t="shared" si="41"/>
        <v>0</v>
      </c>
      <c r="L200" s="79">
        <v>54875.799999999996</v>
      </c>
      <c r="M200" s="86">
        <f>ROUND(VLOOKUP(B200,גיליון1!A178:B1148,2,0),0)</f>
        <v>71714</v>
      </c>
      <c r="N200" s="108"/>
    </row>
    <row r="201" spans="1:14" ht="15.75">
      <c r="A201">
        <v>197</v>
      </c>
      <c r="B201" s="12">
        <v>580280204</v>
      </c>
      <c r="C201" s="13" t="s">
        <v>435</v>
      </c>
      <c r="D201" s="13" t="s">
        <v>56</v>
      </c>
      <c r="E201" s="6">
        <v>278803</v>
      </c>
      <c r="F201" s="6">
        <v>149527</v>
      </c>
      <c r="G201" s="7">
        <f t="shared" si="38"/>
        <v>0.5363177584172337</v>
      </c>
      <c r="H201" s="14">
        <v>232340</v>
      </c>
      <c r="I201" s="15">
        <f t="shared" si="39"/>
        <v>195162.09999999998</v>
      </c>
      <c r="J201" s="15">
        <f t="shared" si="40"/>
        <v>185872</v>
      </c>
      <c r="K201" s="85">
        <f t="shared" si="41"/>
        <v>185872</v>
      </c>
      <c r="L201" s="79">
        <v>129275.875</v>
      </c>
      <c r="M201" s="86">
        <f>ROUND(VLOOKUP(B201,גיליון1!A179:B1149,2,0),0)</f>
        <v>232339</v>
      </c>
      <c r="N201" s="108"/>
    </row>
    <row r="202" spans="1:14" ht="15.75">
      <c r="A202" s="3">
        <v>198</v>
      </c>
      <c r="B202" s="12">
        <v>580280899</v>
      </c>
      <c r="C202" s="13" t="s">
        <v>120</v>
      </c>
      <c r="D202" s="17" t="s">
        <v>59</v>
      </c>
      <c r="E202" s="6">
        <v>15679.25</v>
      </c>
      <c r="F202" s="6">
        <v>7840</v>
      </c>
      <c r="G202" s="7">
        <f t="shared" si="38"/>
        <v>0.5000239169603138</v>
      </c>
      <c r="H202" s="14">
        <v>13922</v>
      </c>
      <c r="I202" s="15">
        <f t="shared" si="39"/>
        <v>10975.474999999999</v>
      </c>
      <c r="J202" s="15">
        <f t="shared" si="40"/>
        <v>11137.6</v>
      </c>
      <c r="K202" s="85">
        <f t="shared" si="41"/>
        <v>10975</v>
      </c>
      <c r="L202" s="79">
        <v>7839.625</v>
      </c>
      <c r="M202" s="86">
        <f>ROUND(VLOOKUP(B202,גיליון1!A180:B1150,2,0),0)</f>
        <v>13922</v>
      </c>
      <c r="N202" s="108"/>
    </row>
    <row r="203" spans="1:14" ht="15.75">
      <c r="A203">
        <v>199</v>
      </c>
      <c r="B203" s="27">
        <v>580283323</v>
      </c>
      <c r="C203" s="19" t="s">
        <v>121</v>
      </c>
      <c r="D203" s="28" t="s">
        <v>59</v>
      </c>
      <c r="E203" s="6">
        <v>124099</v>
      </c>
      <c r="F203" s="6">
        <v>62348</v>
      </c>
      <c r="G203" s="7">
        <f t="shared" si="38"/>
        <v>0.5024053376739539</v>
      </c>
      <c r="H203" s="14">
        <v>101044</v>
      </c>
      <c r="I203" s="15">
        <f t="shared" si="39"/>
        <v>86869.29999999999</v>
      </c>
      <c r="J203" s="15">
        <f t="shared" si="40"/>
        <v>80835.20000000001</v>
      </c>
      <c r="K203" s="85">
        <f t="shared" si="41"/>
        <v>80835</v>
      </c>
      <c r="L203" s="79">
        <v>62347.95000000001</v>
      </c>
      <c r="M203" s="86">
        <f>ROUND(VLOOKUP(B203,גיליון1!A182:B1152,2,0),0)</f>
        <v>101044</v>
      </c>
      <c r="N203" s="108"/>
    </row>
    <row r="204" spans="1:14" ht="15.75">
      <c r="A204" s="3">
        <v>200</v>
      </c>
      <c r="B204" s="12">
        <v>580283950</v>
      </c>
      <c r="C204" s="13" t="s">
        <v>122</v>
      </c>
      <c r="D204" s="13" t="s">
        <v>56</v>
      </c>
      <c r="E204" s="6">
        <v>47287</v>
      </c>
      <c r="F204" s="6">
        <v>23644</v>
      </c>
      <c r="G204" s="7">
        <f t="shared" si="38"/>
        <v>0.5000105737306236</v>
      </c>
      <c r="H204" s="14">
        <v>104391</v>
      </c>
      <c r="I204" s="15">
        <f t="shared" si="39"/>
        <v>33100.9</v>
      </c>
      <c r="J204" s="15">
        <f t="shared" si="40"/>
        <v>83512.8</v>
      </c>
      <c r="K204" s="85">
        <f t="shared" si="41"/>
        <v>33101</v>
      </c>
      <c r="L204" s="79">
        <v>23643.5</v>
      </c>
      <c r="M204" s="86">
        <f>ROUND(VLOOKUP(B204,גיליון1!A183:B1153,2,0),0)</f>
        <v>104392</v>
      </c>
      <c r="N204" s="108"/>
    </row>
    <row r="205" spans="1:14" ht="15.75">
      <c r="A205">
        <v>201</v>
      </c>
      <c r="B205" s="12">
        <v>580284719</v>
      </c>
      <c r="C205" s="13" t="s">
        <v>262</v>
      </c>
      <c r="D205" s="17" t="s">
        <v>59</v>
      </c>
      <c r="E205" s="6">
        <v>77756.25</v>
      </c>
      <c r="F205" s="6">
        <v>38878</v>
      </c>
      <c r="G205" s="7">
        <f t="shared" si="38"/>
        <v>0.4999983924121855</v>
      </c>
      <c r="H205" s="14">
        <v>56684</v>
      </c>
      <c r="I205" s="15">
        <f t="shared" si="39"/>
        <v>54429.375</v>
      </c>
      <c r="J205" s="15">
        <f t="shared" si="40"/>
        <v>45347.200000000004</v>
      </c>
      <c r="K205" s="85">
        <f t="shared" si="41"/>
        <v>45347</v>
      </c>
      <c r="L205" s="79">
        <v>38878.125</v>
      </c>
      <c r="M205" s="86">
        <f>ROUND(VLOOKUP(B205,גיליון1!A184:B1154,2,0),0)</f>
        <v>56684</v>
      </c>
      <c r="N205" s="108"/>
    </row>
    <row r="206" spans="1:14" ht="15.75">
      <c r="A206" s="3">
        <v>202</v>
      </c>
      <c r="B206" s="12">
        <v>580284933</v>
      </c>
      <c r="C206" s="13" t="s">
        <v>339</v>
      </c>
      <c r="D206" s="17" t="s">
        <v>59</v>
      </c>
      <c r="E206" s="6">
        <v>90823</v>
      </c>
      <c r="F206" s="6">
        <v>40849</v>
      </c>
      <c r="G206" s="7">
        <f t="shared" si="38"/>
        <v>0.44976492738623475</v>
      </c>
      <c r="H206" s="14">
        <v>175084</v>
      </c>
      <c r="I206" s="15">
        <f t="shared" si="39"/>
        <v>63576.1</v>
      </c>
      <c r="J206" s="15">
        <f t="shared" si="40"/>
        <v>140067.2</v>
      </c>
      <c r="K206" s="85">
        <f t="shared" si="41"/>
        <v>63576</v>
      </c>
      <c r="L206" s="79">
        <v>40849.375</v>
      </c>
      <c r="M206" s="86">
        <f>ROUND(VLOOKUP(B206,גיליון1!A185:B1155,2,0),0)</f>
        <v>175083</v>
      </c>
      <c r="N206" s="108"/>
    </row>
    <row r="207" spans="1:14" ht="15.75">
      <c r="A207">
        <v>203</v>
      </c>
      <c r="B207" s="12">
        <v>580290112</v>
      </c>
      <c r="C207" s="13" t="s">
        <v>124</v>
      </c>
      <c r="D207" s="17" t="s">
        <v>59</v>
      </c>
      <c r="E207" s="6">
        <v>121975.25</v>
      </c>
      <c r="F207" s="6">
        <v>85383</v>
      </c>
      <c r="G207" s="7">
        <f t="shared" si="38"/>
        <v>0.7000026644749652</v>
      </c>
      <c r="H207" s="14">
        <v>163394</v>
      </c>
      <c r="I207" s="15">
        <f t="shared" si="39"/>
        <v>85382.67499999999</v>
      </c>
      <c r="J207" s="15">
        <f t="shared" si="40"/>
        <v>130715.20000000001</v>
      </c>
      <c r="K207" s="85">
        <f t="shared" si="41"/>
        <v>0</v>
      </c>
      <c r="L207" s="79">
        <v>85382.67499999999</v>
      </c>
      <c r="M207" s="86">
        <f>ROUND(VLOOKUP(B207,גיליון1!A187:B1157,2,0),0)</f>
        <v>163397</v>
      </c>
      <c r="N207" s="108"/>
    </row>
    <row r="208" spans="1:14" ht="15">
      <c r="A208" s="3">
        <v>204</v>
      </c>
      <c r="B208" s="18">
        <v>580291730</v>
      </c>
      <c r="C208" s="4" t="s">
        <v>125</v>
      </c>
      <c r="D208" s="4" t="s">
        <v>68</v>
      </c>
      <c r="E208" s="6">
        <v>51784</v>
      </c>
      <c r="F208" s="6">
        <v>25892</v>
      </c>
      <c r="G208" s="7">
        <f t="shared" si="38"/>
        <v>0.5</v>
      </c>
      <c r="H208" s="14">
        <v>31068</v>
      </c>
      <c r="I208" s="15">
        <f t="shared" si="39"/>
        <v>36248.799999999996</v>
      </c>
      <c r="J208" s="15">
        <f t="shared" si="40"/>
        <v>24854.4</v>
      </c>
      <c r="K208" s="85">
        <f t="shared" si="41"/>
        <v>0</v>
      </c>
      <c r="L208" s="79">
        <v>25892</v>
      </c>
      <c r="M208" s="86">
        <f>ROUND(VLOOKUP(B208,גיליון1!A188:B1158,2,0),0)</f>
        <v>31068</v>
      </c>
      <c r="N208" s="108"/>
    </row>
    <row r="209" spans="1:14" ht="15">
      <c r="A209">
        <v>205</v>
      </c>
      <c r="B209" s="4">
        <v>580292134</v>
      </c>
      <c r="C209" s="4" t="s">
        <v>126</v>
      </c>
      <c r="D209" s="4" t="s">
        <v>90</v>
      </c>
      <c r="E209" s="6">
        <v>201818.25</v>
      </c>
      <c r="F209" s="6">
        <v>141273</v>
      </c>
      <c r="G209" s="7">
        <f t="shared" si="38"/>
        <v>0.7000011148644882</v>
      </c>
      <c r="H209" s="14">
        <v>236890</v>
      </c>
      <c r="I209" s="15">
        <f t="shared" si="39"/>
        <v>141272.775</v>
      </c>
      <c r="J209" s="15">
        <f t="shared" si="40"/>
        <v>189512</v>
      </c>
      <c r="K209" s="85">
        <f t="shared" si="41"/>
        <v>0</v>
      </c>
      <c r="L209" s="79">
        <v>141272.775</v>
      </c>
      <c r="M209" s="86">
        <f>ROUND(VLOOKUP(B209,גיליון1!A189:B1159,2,0),0)</f>
        <v>236891</v>
      </c>
      <c r="N209" s="108"/>
    </row>
    <row r="210" spans="1:14" ht="15.75">
      <c r="A210" s="3">
        <v>206</v>
      </c>
      <c r="B210" s="12">
        <v>580294247</v>
      </c>
      <c r="C210" s="13" t="s">
        <v>263</v>
      </c>
      <c r="D210" s="17" t="s">
        <v>59</v>
      </c>
      <c r="E210" s="6">
        <v>110779.25</v>
      </c>
      <c r="F210" s="6">
        <v>77545</v>
      </c>
      <c r="G210" s="7">
        <f t="shared" si="38"/>
        <v>0.6999957121933936</v>
      </c>
      <c r="H210" s="14">
        <v>160083</v>
      </c>
      <c r="I210" s="15">
        <f t="shared" si="39"/>
        <v>77545.47499999999</v>
      </c>
      <c r="J210" s="15">
        <f t="shared" si="40"/>
        <v>128066.40000000001</v>
      </c>
      <c r="K210" s="85">
        <f t="shared" si="41"/>
        <v>77545</v>
      </c>
      <c r="L210" s="79">
        <v>77545.47499999999</v>
      </c>
      <c r="M210" s="86">
        <f>ROUND(VLOOKUP(B210,גיליון1!A190:B1160,2,0),0)</f>
        <v>160080</v>
      </c>
      <c r="N210" s="108"/>
    </row>
    <row r="211" spans="1:14" ht="15.75">
      <c r="A211">
        <v>207</v>
      </c>
      <c r="B211" s="53">
        <v>580295129</v>
      </c>
      <c r="C211" s="55" t="s">
        <v>655</v>
      </c>
      <c r="D211" s="55" t="s">
        <v>56</v>
      </c>
      <c r="E211" s="6">
        <v>77928.75</v>
      </c>
      <c r="F211" s="6">
        <v>38964</v>
      </c>
      <c r="G211" s="7">
        <f t="shared" si="38"/>
        <v>0.499995187912035</v>
      </c>
      <c r="H211" s="14">
        <v>81697</v>
      </c>
      <c r="I211" s="15">
        <f t="shared" si="39"/>
        <v>54550.125</v>
      </c>
      <c r="J211" s="15">
        <f t="shared" si="40"/>
        <v>65357.600000000006</v>
      </c>
      <c r="K211" s="85">
        <f t="shared" si="41"/>
        <v>54550</v>
      </c>
      <c r="L211" s="79">
        <v>38964.375</v>
      </c>
      <c r="M211" s="86">
        <f>ROUND(VLOOKUP(B211,גיליון1!A191:B1161,2,0),0)</f>
        <v>81698</v>
      </c>
      <c r="N211" s="108"/>
    </row>
    <row r="212" spans="1:14" ht="15.75">
      <c r="A212" s="3">
        <v>208</v>
      </c>
      <c r="B212" s="12">
        <v>580295251</v>
      </c>
      <c r="C212" s="13" t="s">
        <v>436</v>
      </c>
      <c r="D212" s="17" t="s">
        <v>59</v>
      </c>
      <c r="E212" s="6">
        <v>86467</v>
      </c>
      <c r="F212" s="6">
        <v>60527</v>
      </c>
      <c r="G212" s="7">
        <f t="shared" si="38"/>
        <v>0.7000011565105763</v>
      </c>
      <c r="H212" s="14">
        <v>90648</v>
      </c>
      <c r="I212" s="15">
        <f t="shared" si="39"/>
        <v>60526.899999999994</v>
      </c>
      <c r="J212" s="15">
        <f t="shared" si="40"/>
        <v>72518.40000000001</v>
      </c>
      <c r="K212" s="85">
        <f t="shared" si="41"/>
        <v>0</v>
      </c>
      <c r="L212" s="79">
        <v>60526.899999999994</v>
      </c>
      <c r="M212" s="86">
        <f>ROUND(VLOOKUP(B212,גיליון1!A192:B1162,2,0),0)</f>
        <v>90645</v>
      </c>
      <c r="N212" s="108"/>
    </row>
    <row r="213" spans="1:14" ht="15.75">
      <c r="A213">
        <v>209</v>
      </c>
      <c r="B213" s="12">
        <v>580295731</v>
      </c>
      <c r="C213" s="13" t="s">
        <v>127</v>
      </c>
      <c r="D213" s="17" t="s">
        <v>59</v>
      </c>
      <c r="E213" s="6">
        <f>298269.5+70227</f>
        <v>368496.5</v>
      </c>
      <c r="F213" s="6">
        <v>205827</v>
      </c>
      <c r="G213" s="7">
        <f t="shared" si="38"/>
        <v>0.5585589008308084</v>
      </c>
      <c r="H213" s="14">
        <f>257284+67681</f>
        <v>324965</v>
      </c>
      <c r="I213" s="15">
        <f t="shared" si="39"/>
        <v>257947.55</v>
      </c>
      <c r="J213" s="15">
        <f t="shared" si="40"/>
        <v>259972</v>
      </c>
      <c r="K213" s="85">
        <f t="shared" si="41"/>
        <v>257948</v>
      </c>
      <c r="L213" s="79">
        <v>205827.2</v>
      </c>
      <c r="M213" s="86">
        <f>ROUND(VLOOKUP(B213,גיליון1!A193:B1163,2,0),0)</f>
        <v>257282</v>
      </c>
      <c r="N213" s="108"/>
    </row>
    <row r="214" spans="1:14" ht="15.75">
      <c r="A214" s="3">
        <v>210</v>
      </c>
      <c r="B214" s="12">
        <v>580297638</v>
      </c>
      <c r="C214" s="13" t="s">
        <v>128</v>
      </c>
      <c r="D214" s="17" t="s">
        <v>59</v>
      </c>
      <c r="E214" s="6">
        <v>49078.5</v>
      </c>
      <c r="F214" s="6">
        <v>24539</v>
      </c>
      <c r="G214" s="7">
        <f t="shared" si="38"/>
        <v>0.4999949061197877</v>
      </c>
      <c r="H214" s="14">
        <v>49136</v>
      </c>
      <c r="I214" s="15">
        <f t="shared" si="39"/>
        <v>34354.95</v>
      </c>
      <c r="J214" s="15">
        <f t="shared" si="40"/>
        <v>39308.8</v>
      </c>
      <c r="K214" s="85">
        <f t="shared" si="41"/>
        <v>34355</v>
      </c>
      <c r="L214" s="79">
        <v>24539.25</v>
      </c>
      <c r="M214" s="86">
        <f>ROUND(VLOOKUP(B214,גיליון1!A194:B1164,2,0),0)</f>
        <v>49136</v>
      </c>
      <c r="N214" s="108"/>
    </row>
    <row r="215" spans="1:14" ht="15.75">
      <c r="A215">
        <v>211</v>
      </c>
      <c r="B215" s="12">
        <v>580297984</v>
      </c>
      <c r="C215" s="30" t="s">
        <v>340</v>
      </c>
      <c r="D215" s="17" t="s">
        <v>59</v>
      </c>
      <c r="E215" s="6">
        <v>228877.25</v>
      </c>
      <c r="F215" s="6">
        <v>160214</v>
      </c>
      <c r="G215" s="7">
        <f t="shared" si="38"/>
        <v>0.6999996723134344</v>
      </c>
      <c r="H215" s="14">
        <v>230161</v>
      </c>
      <c r="I215" s="15">
        <f t="shared" si="39"/>
        <v>160214.07499999998</v>
      </c>
      <c r="J215" s="15">
        <f t="shared" si="40"/>
        <v>184128.80000000002</v>
      </c>
      <c r="K215" s="85">
        <f t="shared" si="41"/>
        <v>160214</v>
      </c>
      <c r="L215" s="79">
        <v>160214.07499999998</v>
      </c>
      <c r="M215" s="86">
        <f>ROUND(VLOOKUP(B215,גיליון1!A195:B1165,2,0),0)</f>
        <v>230161</v>
      </c>
      <c r="N215" s="108"/>
    </row>
    <row r="216" spans="1:14" ht="15.75">
      <c r="A216" s="3">
        <v>212</v>
      </c>
      <c r="B216" s="12">
        <v>580299485</v>
      </c>
      <c r="C216" s="30" t="s">
        <v>129</v>
      </c>
      <c r="D216" s="17" t="s">
        <v>59</v>
      </c>
      <c r="E216" s="6">
        <v>91828.75</v>
      </c>
      <c r="F216" s="6">
        <v>64280</v>
      </c>
      <c r="G216" s="7">
        <f t="shared" si="38"/>
        <v>0.6999986387705376</v>
      </c>
      <c r="H216" s="14">
        <v>165903</v>
      </c>
      <c r="I216" s="15">
        <f t="shared" si="39"/>
        <v>64280.12499999999</v>
      </c>
      <c r="J216" s="15">
        <f t="shared" si="40"/>
        <v>132722.4</v>
      </c>
      <c r="K216" s="85">
        <f t="shared" si="41"/>
        <v>64280</v>
      </c>
      <c r="L216" s="79">
        <v>64280.12499999999</v>
      </c>
      <c r="M216" s="86">
        <f>ROUND(VLOOKUP(B216,גיליון1!A196:B1166,2,0),0)</f>
        <v>165903</v>
      </c>
      <c r="N216" s="108"/>
    </row>
    <row r="217" spans="1:14" ht="15.75">
      <c r="A217">
        <v>213</v>
      </c>
      <c r="B217" s="12">
        <v>580299493</v>
      </c>
      <c r="C217" s="30" t="s">
        <v>130</v>
      </c>
      <c r="D217" s="17" t="s">
        <v>59</v>
      </c>
      <c r="E217" s="6">
        <v>323582.75</v>
      </c>
      <c r="F217" s="6">
        <v>226508</v>
      </c>
      <c r="G217" s="7">
        <f t="shared" si="38"/>
        <v>0.7000002317799697</v>
      </c>
      <c r="H217" s="14">
        <v>665740</v>
      </c>
      <c r="I217" s="15">
        <f t="shared" si="39"/>
        <v>226507.925</v>
      </c>
      <c r="J217" s="15">
        <f t="shared" si="40"/>
        <v>532592</v>
      </c>
      <c r="K217" s="85">
        <f t="shared" si="41"/>
        <v>0</v>
      </c>
      <c r="L217" s="79">
        <v>226507.925</v>
      </c>
      <c r="M217" s="86">
        <f>ROUND(VLOOKUP(B217,גיליון1!A197:B1167,2,0),0)</f>
        <v>665740</v>
      </c>
      <c r="N217" s="108"/>
    </row>
    <row r="218" spans="1:14" ht="15.75">
      <c r="A218" s="3">
        <v>214</v>
      </c>
      <c r="B218" s="12">
        <v>580301745</v>
      </c>
      <c r="C218" s="13" t="s">
        <v>506</v>
      </c>
      <c r="D218" s="17" t="s">
        <v>64</v>
      </c>
      <c r="E218" s="6">
        <v>96331</v>
      </c>
      <c r="F218" s="6">
        <v>48166</v>
      </c>
      <c r="G218" s="7">
        <f t="shared" si="38"/>
        <v>0.5000051904371386</v>
      </c>
      <c r="H218" s="14">
        <v>71677</v>
      </c>
      <c r="I218" s="15">
        <f t="shared" si="39"/>
        <v>67431.7</v>
      </c>
      <c r="J218" s="15">
        <f t="shared" si="40"/>
        <v>57341.600000000006</v>
      </c>
      <c r="K218" s="85">
        <f t="shared" si="41"/>
        <v>57342</v>
      </c>
      <c r="L218" s="79">
        <v>4932</v>
      </c>
      <c r="M218" s="86">
        <f>ROUND(VLOOKUP(B218,גיליון1!A198:B1168,2,0),0)</f>
        <v>71676</v>
      </c>
      <c r="N218" s="108"/>
    </row>
    <row r="219" spans="1:14" ht="15.75">
      <c r="A219">
        <v>215</v>
      </c>
      <c r="B219" s="12">
        <v>580301794</v>
      </c>
      <c r="C219" s="13" t="s">
        <v>507</v>
      </c>
      <c r="D219" s="13" t="s">
        <v>56</v>
      </c>
      <c r="E219" s="6">
        <v>27842.25</v>
      </c>
      <c r="F219" s="6">
        <v>19490</v>
      </c>
      <c r="G219" s="7">
        <f t="shared" si="38"/>
        <v>0.7000152645709309</v>
      </c>
      <c r="H219" s="14">
        <v>66512</v>
      </c>
      <c r="I219" s="15">
        <f t="shared" si="39"/>
        <v>19489.574999999997</v>
      </c>
      <c r="J219" s="15">
        <f t="shared" si="40"/>
        <v>53209.600000000006</v>
      </c>
      <c r="K219" s="85">
        <f t="shared" si="41"/>
        <v>0</v>
      </c>
      <c r="L219" s="79">
        <v>19489.574999999997</v>
      </c>
      <c r="M219" s="86">
        <f>ROUND(VLOOKUP(B219,גיליון1!A199:B1169,2,0),0)</f>
        <v>66511</v>
      </c>
      <c r="N219" s="108"/>
    </row>
    <row r="220" spans="1:14" ht="15">
      <c r="A220" s="3">
        <v>216</v>
      </c>
      <c r="B220" s="18">
        <v>580302081</v>
      </c>
      <c r="C220" s="4" t="s">
        <v>131</v>
      </c>
      <c r="D220" s="4" t="s">
        <v>68</v>
      </c>
      <c r="E220" s="6">
        <v>287171.25</v>
      </c>
      <c r="F220" s="6">
        <v>143586</v>
      </c>
      <c r="G220" s="7">
        <f t="shared" si="38"/>
        <v>0.5000013058410269</v>
      </c>
      <c r="H220" s="14">
        <v>171666</v>
      </c>
      <c r="I220" s="15">
        <f t="shared" si="39"/>
        <v>201019.875</v>
      </c>
      <c r="J220" s="15">
        <f t="shared" si="40"/>
        <v>137332.80000000002</v>
      </c>
      <c r="K220" s="85">
        <f t="shared" si="41"/>
        <v>0</v>
      </c>
      <c r="L220" s="79">
        <v>143585.625</v>
      </c>
      <c r="M220" s="86">
        <f>ROUND(VLOOKUP(B220,גיליון1!A200:B1170,2,0),0)</f>
        <v>171666</v>
      </c>
      <c r="N220" s="108"/>
    </row>
    <row r="221" spans="1:14" ht="15.75">
      <c r="A221">
        <v>217</v>
      </c>
      <c r="B221" s="13">
        <v>580304681</v>
      </c>
      <c r="C221" s="13" t="s">
        <v>341</v>
      </c>
      <c r="D221" s="13" t="s">
        <v>70</v>
      </c>
      <c r="E221" s="6">
        <v>5228</v>
      </c>
      <c r="F221" s="6">
        <v>2614</v>
      </c>
      <c r="G221" s="7">
        <f t="shared" si="38"/>
        <v>0.5</v>
      </c>
      <c r="H221" s="14">
        <v>2746</v>
      </c>
      <c r="I221" s="15">
        <f t="shared" si="39"/>
        <v>3659.6</v>
      </c>
      <c r="J221" s="15">
        <f t="shared" si="40"/>
        <v>2196.8</v>
      </c>
      <c r="K221" s="85">
        <f t="shared" si="41"/>
        <v>0</v>
      </c>
      <c r="L221" s="79">
        <v>2614</v>
      </c>
      <c r="M221" s="86">
        <f>ROUND(VLOOKUP(B221,גיליון1!A201:B1171,2,0),0)</f>
        <v>2746</v>
      </c>
      <c r="N221" s="108"/>
    </row>
    <row r="222" spans="1:14" ht="15.75">
      <c r="A222" s="3">
        <v>218</v>
      </c>
      <c r="B222" s="12">
        <v>580305266</v>
      </c>
      <c r="C222" s="13" t="s">
        <v>587</v>
      </c>
      <c r="D222" s="17" t="s">
        <v>59</v>
      </c>
      <c r="E222" s="6">
        <v>515395</v>
      </c>
      <c r="F222" s="6">
        <v>359990</v>
      </c>
      <c r="G222" s="7">
        <f t="shared" si="38"/>
        <v>0.6984739859719244</v>
      </c>
      <c r="H222" s="14">
        <v>449987</v>
      </c>
      <c r="I222" s="15">
        <f t="shared" si="39"/>
        <v>360776.5</v>
      </c>
      <c r="J222" s="15">
        <f t="shared" si="40"/>
        <v>359989.60000000003</v>
      </c>
      <c r="K222" s="85">
        <f t="shared" si="41"/>
        <v>0</v>
      </c>
      <c r="L222" s="79">
        <v>359989.60000000003</v>
      </c>
      <c r="M222" s="86">
        <f>ROUND(VLOOKUP(B222,גיליון1!A202:B1172,2,0),0)</f>
        <v>449985</v>
      </c>
      <c r="N222" s="108"/>
    </row>
    <row r="223" spans="1:14" ht="15.75">
      <c r="A223">
        <v>219</v>
      </c>
      <c r="B223" s="12">
        <v>580307411</v>
      </c>
      <c r="C223" s="13" t="s">
        <v>132</v>
      </c>
      <c r="D223" s="13" t="s">
        <v>56</v>
      </c>
      <c r="E223" s="6">
        <v>367325.75</v>
      </c>
      <c r="F223" s="6">
        <v>257128</v>
      </c>
      <c r="G223" s="7">
        <f t="shared" si="38"/>
        <v>0.6999999319405187</v>
      </c>
      <c r="H223" s="14">
        <v>399781</v>
      </c>
      <c r="I223" s="15">
        <f t="shared" si="39"/>
        <v>257128.025</v>
      </c>
      <c r="J223" s="15">
        <f t="shared" si="40"/>
        <v>319824.80000000005</v>
      </c>
      <c r="K223" s="85">
        <f t="shared" si="41"/>
        <v>257128</v>
      </c>
      <c r="L223" s="79">
        <v>257128.025</v>
      </c>
      <c r="M223" s="86">
        <f>ROUND(VLOOKUP(B223,גיליון1!A203:B1173,2,0),0)</f>
        <v>399775</v>
      </c>
      <c r="N223" s="108"/>
    </row>
    <row r="224" spans="1:14" ht="15.75">
      <c r="A224" s="3">
        <v>220</v>
      </c>
      <c r="B224" s="12">
        <v>580308062</v>
      </c>
      <c r="C224" s="13" t="s">
        <v>342</v>
      </c>
      <c r="D224" s="17" t="s">
        <v>59</v>
      </c>
      <c r="E224" s="6">
        <v>146501</v>
      </c>
      <c r="F224" s="6">
        <v>73250</v>
      </c>
      <c r="G224" s="7">
        <f t="shared" si="38"/>
        <v>0.4999965870540133</v>
      </c>
      <c r="H224" s="14">
        <v>128517</v>
      </c>
      <c r="I224" s="15">
        <f t="shared" si="39"/>
        <v>102550.7</v>
      </c>
      <c r="J224" s="15">
        <f t="shared" si="40"/>
        <v>102813.6</v>
      </c>
      <c r="K224" s="85">
        <f t="shared" si="41"/>
        <v>102551</v>
      </c>
      <c r="L224" s="79">
        <v>26193.875</v>
      </c>
      <c r="M224" s="86">
        <f>ROUND(VLOOKUP(B224,גיליון1!A204:B1174,2,0),0)</f>
        <v>128517</v>
      </c>
      <c r="N224" s="108"/>
    </row>
    <row r="225" spans="1:14" ht="15.75">
      <c r="A225">
        <v>221</v>
      </c>
      <c r="B225" s="12">
        <v>580308427</v>
      </c>
      <c r="C225" s="13" t="s">
        <v>133</v>
      </c>
      <c r="D225" s="17" t="s">
        <v>59</v>
      </c>
      <c r="E225" s="6">
        <v>172222.5</v>
      </c>
      <c r="F225" s="6">
        <v>104795</v>
      </c>
      <c r="G225" s="7">
        <f t="shared" si="38"/>
        <v>0.6084861153449752</v>
      </c>
      <c r="H225" s="14">
        <v>130994</v>
      </c>
      <c r="I225" s="15">
        <f t="shared" si="39"/>
        <v>120555.74999999999</v>
      </c>
      <c r="J225" s="15">
        <f t="shared" si="40"/>
        <v>104795.20000000001</v>
      </c>
      <c r="K225" s="85">
        <f t="shared" si="41"/>
        <v>104795</v>
      </c>
      <c r="L225" s="79">
        <v>104795.20000000001</v>
      </c>
      <c r="M225" s="86">
        <f>ROUND(VLOOKUP(B225,גיליון1!A205:B1175,2,0),0)</f>
        <v>130994</v>
      </c>
      <c r="N225" s="108"/>
    </row>
    <row r="226" spans="1:14" ht="15.75">
      <c r="A226" s="3">
        <v>222</v>
      </c>
      <c r="B226" s="12">
        <v>580309417</v>
      </c>
      <c r="C226" s="13" t="s">
        <v>558</v>
      </c>
      <c r="D226" s="17" t="s">
        <v>59</v>
      </c>
      <c r="E226" s="6">
        <v>35824.75</v>
      </c>
      <c r="F226" s="6">
        <v>25077</v>
      </c>
      <c r="G226" s="7">
        <f t="shared" si="38"/>
        <v>0.6999909280595119</v>
      </c>
      <c r="H226" s="14">
        <v>62240</v>
      </c>
      <c r="I226" s="15">
        <f t="shared" si="39"/>
        <v>25077.324999999997</v>
      </c>
      <c r="J226" s="15">
        <f t="shared" si="40"/>
        <v>49792</v>
      </c>
      <c r="K226" s="85">
        <f t="shared" si="41"/>
        <v>25077</v>
      </c>
      <c r="L226" s="79">
        <v>25077.324999999997</v>
      </c>
      <c r="M226" s="86">
        <f>ROUND(VLOOKUP(B226,גיליון1!A206:B1176,2,0),0)</f>
        <v>62240</v>
      </c>
      <c r="N226" s="108"/>
    </row>
    <row r="227" spans="1:14" ht="15.75">
      <c r="A227">
        <v>223</v>
      </c>
      <c r="B227" s="12">
        <v>580309680</v>
      </c>
      <c r="C227" s="13" t="s">
        <v>264</v>
      </c>
      <c r="D227" s="17" t="s">
        <v>59</v>
      </c>
      <c r="E227" s="6">
        <v>84130.25</v>
      </c>
      <c r="F227" s="6">
        <v>58891</v>
      </c>
      <c r="G227" s="7">
        <f t="shared" si="38"/>
        <v>0.6999979198920722</v>
      </c>
      <c r="H227" s="14">
        <v>104234</v>
      </c>
      <c r="I227" s="15">
        <f t="shared" si="39"/>
        <v>58891.174999999996</v>
      </c>
      <c r="J227" s="15">
        <f t="shared" si="40"/>
        <v>83387.20000000001</v>
      </c>
      <c r="K227" s="85">
        <f t="shared" si="41"/>
        <v>58891</v>
      </c>
      <c r="L227" s="79">
        <v>58891.174999999996</v>
      </c>
      <c r="M227" s="86">
        <f>ROUND(VLOOKUP(B227,גיליון1!A207:B1177,2,0),0)</f>
        <v>104231</v>
      </c>
      <c r="N227" s="108"/>
    </row>
    <row r="228" spans="1:14" ht="15.75">
      <c r="A228" s="3">
        <v>224</v>
      </c>
      <c r="B228" s="12">
        <v>580310266</v>
      </c>
      <c r="C228" s="13" t="s">
        <v>134</v>
      </c>
      <c r="D228" s="13" t="s">
        <v>56</v>
      </c>
      <c r="E228" s="6">
        <f>498807+98698</f>
        <v>597505</v>
      </c>
      <c r="F228" s="6">
        <v>330213</v>
      </c>
      <c r="G228" s="7">
        <f t="shared" si="38"/>
        <v>0.5526531158735073</v>
      </c>
      <c r="H228" s="14">
        <f>412766+56412</f>
        <v>469178</v>
      </c>
      <c r="I228" s="15">
        <f t="shared" si="39"/>
        <v>418253.5</v>
      </c>
      <c r="J228" s="15">
        <f t="shared" si="40"/>
        <v>375342.4</v>
      </c>
      <c r="K228" s="85">
        <f t="shared" si="41"/>
        <v>375342</v>
      </c>
      <c r="L228" s="79">
        <v>330212.80000000005</v>
      </c>
      <c r="M228" s="86">
        <f>ROUND(VLOOKUP(B228,גיליון1!A208:B1178,2,0),0)</f>
        <v>412763</v>
      </c>
      <c r="N228" s="108"/>
    </row>
    <row r="229" spans="1:14" ht="15.75">
      <c r="A229">
        <v>225</v>
      </c>
      <c r="B229" s="12">
        <v>580310373</v>
      </c>
      <c r="C229" s="13" t="s">
        <v>135</v>
      </c>
      <c r="D229" s="13" t="s">
        <v>56</v>
      </c>
      <c r="E229" s="6">
        <v>79623.25</v>
      </c>
      <c r="F229" s="6">
        <v>39812</v>
      </c>
      <c r="G229" s="7">
        <f aca="true" t="shared" si="42" ref="G229:G245">F229/E229</f>
        <v>0.5000047096796476</v>
      </c>
      <c r="H229" s="14">
        <v>165630</v>
      </c>
      <c r="I229" s="15">
        <f aca="true" t="shared" si="43" ref="I229:I245">E229*$I$2</f>
        <v>55736.274999999994</v>
      </c>
      <c r="J229" s="15">
        <f aca="true" t="shared" si="44" ref="J229:J245">H229*$J$2</f>
        <v>132504</v>
      </c>
      <c r="K229" s="85">
        <f aca="true" t="shared" si="45" ref="K229:K245">ROUND(IF(IF(MIN(I229,J229)&lt;F229,MIN(I229,J229)-F229,MIN(I229,J229))&lt;0,0,IF(MIN(I229,J229)&lt;F229,MIN(I229,J229)-F229,MIN(I229,J229))),0)</f>
        <v>55736</v>
      </c>
      <c r="L229" s="79">
        <v>39811.625</v>
      </c>
      <c r="M229" s="86">
        <f>ROUND(VLOOKUP(B229,גיליון1!A209:B1179,2,0),0)</f>
        <v>165630</v>
      </c>
      <c r="N229" s="108"/>
    </row>
    <row r="230" spans="1:14" ht="15.75">
      <c r="A230" s="3">
        <v>226</v>
      </c>
      <c r="B230" s="12">
        <v>580310639</v>
      </c>
      <c r="C230" s="13" t="s">
        <v>265</v>
      </c>
      <c r="D230" s="17" t="s">
        <v>59</v>
      </c>
      <c r="E230" s="6">
        <v>185319.25</v>
      </c>
      <c r="F230" s="6">
        <v>129723</v>
      </c>
      <c r="G230" s="7">
        <f t="shared" si="42"/>
        <v>0.6999974368555884</v>
      </c>
      <c r="H230" s="14">
        <v>223277</v>
      </c>
      <c r="I230" s="15">
        <f t="shared" si="43"/>
        <v>129723.47499999999</v>
      </c>
      <c r="J230" s="15">
        <f t="shared" si="44"/>
        <v>178621.6</v>
      </c>
      <c r="K230" s="85">
        <f t="shared" si="45"/>
        <v>129723</v>
      </c>
      <c r="L230" s="79">
        <v>129723.47499999999</v>
      </c>
      <c r="M230" s="86">
        <f>ROUND(VLOOKUP(B230,גיליון1!A210:B1180,2,0),0)</f>
        <v>223274</v>
      </c>
      <c r="N230" s="108"/>
    </row>
    <row r="231" spans="1:14" ht="15">
      <c r="A231">
        <v>227</v>
      </c>
      <c r="B231" s="41">
        <v>580311181</v>
      </c>
      <c r="C231" s="41" t="s">
        <v>608</v>
      </c>
      <c r="D231" s="42" t="s">
        <v>56</v>
      </c>
      <c r="E231" s="6">
        <v>115105</v>
      </c>
      <c r="F231" s="6">
        <v>75130</v>
      </c>
      <c r="G231" s="7">
        <f t="shared" si="42"/>
        <v>0.652708396681291</v>
      </c>
      <c r="H231" s="14">
        <v>93913</v>
      </c>
      <c r="I231" s="15">
        <f t="shared" si="43"/>
        <v>80573.5</v>
      </c>
      <c r="J231" s="15">
        <f t="shared" si="44"/>
        <v>75130.40000000001</v>
      </c>
      <c r="K231" s="85">
        <f t="shared" si="45"/>
        <v>75130</v>
      </c>
      <c r="L231" s="79">
        <v>75130.40000000001</v>
      </c>
      <c r="M231" s="86">
        <f>ROUND(VLOOKUP(B231,גיליון1!A211:B1181,2,0),0)</f>
        <v>93913</v>
      </c>
      <c r="N231" s="108"/>
    </row>
    <row r="232" spans="1:14" ht="15.75">
      <c r="A232" s="3">
        <v>228</v>
      </c>
      <c r="B232" s="12">
        <v>580314581</v>
      </c>
      <c r="C232" s="13" t="s">
        <v>136</v>
      </c>
      <c r="D232" s="17" t="s">
        <v>59</v>
      </c>
      <c r="E232" s="6">
        <v>211074.5</v>
      </c>
      <c r="F232" s="6">
        <v>147752</v>
      </c>
      <c r="G232" s="7">
        <f t="shared" si="42"/>
        <v>0.6999992893504426</v>
      </c>
      <c r="H232" s="14">
        <v>212742</v>
      </c>
      <c r="I232" s="15">
        <f t="shared" si="43"/>
        <v>147752.15</v>
      </c>
      <c r="J232" s="15">
        <f t="shared" si="44"/>
        <v>170193.6</v>
      </c>
      <c r="K232" s="85">
        <f t="shared" si="45"/>
        <v>147752</v>
      </c>
      <c r="L232" s="79">
        <v>147752.15</v>
      </c>
      <c r="M232" s="86">
        <f>ROUND(VLOOKUP(B232,גיליון1!A212:B1182,2,0),0)</f>
        <v>212742</v>
      </c>
      <c r="N232" s="108"/>
    </row>
    <row r="233" spans="1:14" ht="15.75">
      <c r="A233">
        <v>229</v>
      </c>
      <c r="B233" s="12">
        <v>580314748</v>
      </c>
      <c r="C233" s="13" t="s">
        <v>137</v>
      </c>
      <c r="D233" s="13" t="s">
        <v>56</v>
      </c>
      <c r="E233" s="6">
        <f>354547.5+84272</f>
        <v>438819.5</v>
      </c>
      <c r="F233" s="6">
        <v>192964</v>
      </c>
      <c r="G233" s="7">
        <f t="shared" si="42"/>
        <v>0.43973433268120493</v>
      </c>
      <c r="H233" s="14">
        <f>264333+67681</f>
        <v>332014</v>
      </c>
      <c r="I233" s="15">
        <f t="shared" si="43"/>
        <v>307173.64999999997</v>
      </c>
      <c r="J233" s="15">
        <f t="shared" si="44"/>
        <v>265611.2</v>
      </c>
      <c r="K233" s="85">
        <f t="shared" si="45"/>
        <v>265611</v>
      </c>
      <c r="L233" s="79">
        <v>192964.40000000002</v>
      </c>
      <c r="M233" s="86">
        <f>ROUND(VLOOKUP(B233,גיליון1!A213:B1183,2,0),0)</f>
        <v>264332</v>
      </c>
      <c r="N233" s="108"/>
    </row>
    <row r="234" spans="1:14" ht="15.75">
      <c r="A234" s="3">
        <v>230</v>
      </c>
      <c r="B234" s="12">
        <v>580314912</v>
      </c>
      <c r="C234" s="13" t="s">
        <v>102</v>
      </c>
      <c r="D234" s="13" t="s">
        <v>56</v>
      </c>
      <c r="E234" s="6">
        <v>160293.5</v>
      </c>
      <c r="F234" s="6">
        <v>112205</v>
      </c>
      <c r="G234" s="7">
        <f t="shared" si="42"/>
        <v>0.6999971926497331</v>
      </c>
      <c r="H234" s="14">
        <v>173161</v>
      </c>
      <c r="I234" s="15">
        <f t="shared" si="43"/>
        <v>112205.45</v>
      </c>
      <c r="J234" s="15">
        <f t="shared" si="44"/>
        <v>138528.80000000002</v>
      </c>
      <c r="K234" s="85">
        <f t="shared" si="45"/>
        <v>112205</v>
      </c>
      <c r="L234" s="79">
        <v>112205.45</v>
      </c>
      <c r="M234" s="86">
        <f>ROUND(VLOOKUP(B234,גיליון1!A214:B1184,2,0),0)</f>
        <v>173161</v>
      </c>
      <c r="N234" s="108"/>
    </row>
    <row r="235" spans="1:14" ht="15.75">
      <c r="A235">
        <v>231</v>
      </c>
      <c r="B235" s="13">
        <v>580315141</v>
      </c>
      <c r="C235" s="13" t="s">
        <v>508</v>
      </c>
      <c r="D235" s="13" t="s">
        <v>64</v>
      </c>
      <c r="E235" s="6">
        <v>31561.5</v>
      </c>
      <c r="F235" s="6">
        <v>15781</v>
      </c>
      <c r="G235" s="7">
        <f t="shared" si="42"/>
        <v>0.5000079210430429</v>
      </c>
      <c r="H235" s="14">
        <v>27457</v>
      </c>
      <c r="I235" s="15">
        <f t="shared" si="43"/>
        <v>22093.05</v>
      </c>
      <c r="J235" s="15">
        <f t="shared" si="44"/>
        <v>21965.600000000002</v>
      </c>
      <c r="K235" s="85">
        <f t="shared" si="45"/>
        <v>21966</v>
      </c>
      <c r="L235" s="79">
        <v>15780.749999999998</v>
      </c>
      <c r="M235" s="86">
        <f>ROUND(VLOOKUP(B235,גיליון1!A215:B1185,2,0),0)</f>
        <v>27457</v>
      </c>
      <c r="N235" s="108"/>
    </row>
    <row r="236" spans="1:14" ht="15.75">
      <c r="A236" s="3">
        <v>232</v>
      </c>
      <c r="B236" s="12">
        <v>580315893</v>
      </c>
      <c r="C236" s="30" t="s">
        <v>343</v>
      </c>
      <c r="D236" s="17" t="s">
        <v>59</v>
      </c>
      <c r="E236" s="6">
        <v>61822.75</v>
      </c>
      <c r="F236" s="6">
        <v>31220</v>
      </c>
      <c r="G236" s="7">
        <f t="shared" si="42"/>
        <v>0.5049920943342054</v>
      </c>
      <c r="H236" s="14">
        <v>39026</v>
      </c>
      <c r="I236" s="15">
        <f t="shared" si="43"/>
        <v>43275.924999999996</v>
      </c>
      <c r="J236" s="15">
        <f t="shared" si="44"/>
        <v>31220.800000000003</v>
      </c>
      <c r="K236" s="85">
        <f t="shared" si="45"/>
        <v>31221</v>
      </c>
      <c r="L236" s="79">
        <v>31220.448</v>
      </c>
      <c r="M236" s="86">
        <f>ROUND(VLOOKUP(B236,גיליון1!A216:B1186,2,0),0)</f>
        <v>39026</v>
      </c>
      <c r="N236" s="108"/>
    </row>
    <row r="237" spans="1:14" ht="15.75">
      <c r="A237">
        <v>233</v>
      </c>
      <c r="B237" s="37">
        <v>580315901</v>
      </c>
      <c r="C237" s="12" t="s">
        <v>627</v>
      </c>
      <c r="D237" s="13" t="s">
        <v>59</v>
      </c>
      <c r="E237" s="6">
        <v>10238.75</v>
      </c>
      <c r="F237" s="6">
        <v>7167</v>
      </c>
      <c r="G237" s="7">
        <f t="shared" si="42"/>
        <v>0.6999877914784519</v>
      </c>
      <c r="H237" s="14">
        <v>53924</v>
      </c>
      <c r="I237" s="15">
        <f t="shared" si="43"/>
        <v>7167.125</v>
      </c>
      <c r="J237" s="15">
        <f t="shared" si="44"/>
        <v>43139.200000000004</v>
      </c>
      <c r="K237" s="85">
        <f t="shared" si="45"/>
        <v>7167</v>
      </c>
      <c r="L237" s="79">
        <v>7167.125</v>
      </c>
      <c r="M237" s="86">
        <f>ROUND(VLOOKUP(B237,גיליון1!A217:B1187,2,0),0)</f>
        <v>53924</v>
      </c>
      <c r="N237" s="108"/>
    </row>
    <row r="238" spans="1:14" ht="15.75">
      <c r="A238" s="3">
        <v>234</v>
      </c>
      <c r="B238" s="12">
        <v>580315927</v>
      </c>
      <c r="C238" s="30" t="s">
        <v>266</v>
      </c>
      <c r="D238" s="17" t="s">
        <v>59</v>
      </c>
      <c r="E238" s="6">
        <v>8293</v>
      </c>
      <c r="F238" s="6">
        <v>5805</v>
      </c>
      <c r="G238" s="7">
        <f t="shared" si="42"/>
        <v>0.6999879416375256</v>
      </c>
      <c r="H238" s="14">
        <v>27456</v>
      </c>
      <c r="I238" s="15">
        <f t="shared" si="43"/>
        <v>5805.099999999999</v>
      </c>
      <c r="J238" s="15">
        <f t="shared" si="44"/>
        <v>21964.800000000003</v>
      </c>
      <c r="K238" s="85">
        <f t="shared" si="45"/>
        <v>5805</v>
      </c>
      <c r="L238" s="79">
        <v>5805.099999999999</v>
      </c>
      <c r="M238" s="86">
        <f>ROUND(VLOOKUP(B238,גיליון1!A218:B1188,2,0),0)</f>
        <v>27456</v>
      </c>
      <c r="N238" s="108"/>
    </row>
    <row r="239" spans="1:14" ht="15.75">
      <c r="A239">
        <v>235</v>
      </c>
      <c r="B239" s="12">
        <v>580315935</v>
      </c>
      <c r="C239" s="30" t="s">
        <v>138</v>
      </c>
      <c r="D239" s="17" t="s">
        <v>59</v>
      </c>
      <c r="E239" s="6">
        <v>93589.25</v>
      </c>
      <c r="F239" s="6">
        <v>65512</v>
      </c>
      <c r="G239" s="7">
        <f t="shared" si="42"/>
        <v>0.6999949246307668</v>
      </c>
      <c r="H239" s="14">
        <v>196433</v>
      </c>
      <c r="I239" s="15">
        <f t="shared" si="43"/>
        <v>65512.475</v>
      </c>
      <c r="J239" s="15">
        <f t="shared" si="44"/>
        <v>157146.4</v>
      </c>
      <c r="K239" s="85">
        <f t="shared" si="45"/>
        <v>65512</v>
      </c>
      <c r="L239" s="79">
        <v>65512.475</v>
      </c>
      <c r="M239" s="86">
        <f>ROUND(VLOOKUP(B239,גיליון1!A219:B1189,2,0),0)</f>
        <v>196433</v>
      </c>
      <c r="N239" s="108"/>
    </row>
    <row r="240" spans="1:14" ht="15">
      <c r="A240" s="3">
        <v>236</v>
      </c>
      <c r="B240" s="22">
        <v>580315976</v>
      </c>
      <c r="C240" s="17" t="s">
        <v>267</v>
      </c>
      <c r="D240" s="17" t="s">
        <v>59</v>
      </c>
      <c r="E240" s="6">
        <v>11610</v>
      </c>
      <c r="F240" s="6">
        <v>7662</v>
      </c>
      <c r="G240" s="7">
        <f t="shared" si="42"/>
        <v>0.6599483204134367</v>
      </c>
      <c r="H240" s="14">
        <v>34466</v>
      </c>
      <c r="I240" s="15">
        <f t="shared" si="43"/>
        <v>8126.999999999999</v>
      </c>
      <c r="J240" s="15">
        <f t="shared" si="44"/>
        <v>27572.800000000003</v>
      </c>
      <c r="K240" s="85">
        <f t="shared" si="45"/>
        <v>8127</v>
      </c>
      <c r="L240" s="79">
        <v>7662.48</v>
      </c>
      <c r="M240" s="86">
        <f>ROUND(VLOOKUP(B240,גיליון1!A220:B1190,2,0),0)</f>
        <v>34466</v>
      </c>
      <c r="N240" s="108"/>
    </row>
    <row r="241" spans="1:14" ht="15.75">
      <c r="A241">
        <v>237</v>
      </c>
      <c r="B241" s="12">
        <v>580315984</v>
      </c>
      <c r="C241" s="30" t="s">
        <v>344</v>
      </c>
      <c r="D241" s="17" t="s">
        <v>59</v>
      </c>
      <c r="E241" s="6">
        <v>370580.75</v>
      </c>
      <c r="F241" s="6">
        <v>259407</v>
      </c>
      <c r="G241" s="7">
        <f t="shared" si="42"/>
        <v>0.7000012817719216</v>
      </c>
      <c r="H241" s="14">
        <v>678800</v>
      </c>
      <c r="I241" s="15">
        <f t="shared" si="43"/>
        <v>259406.525</v>
      </c>
      <c r="J241" s="15">
        <f t="shared" si="44"/>
        <v>543040</v>
      </c>
      <c r="K241" s="85">
        <f t="shared" si="45"/>
        <v>0</v>
      </c>
      <c r="L241" s="79">
        <v>259406.525</v>
      </c>
      <c r="M241" s="86">
        <f>ROUND(VLOOKUP(B241,גיליון1!A221:B1191,2,0),0)</f>
        <v>678800</v>
      </c>
      <c r="N241" s="108"/>
    </row>
    <row r="242" spans="1:14" ht="15.75">
      <c r="A242" s="3">
        <v>238</v>
      </c>
      <c r="B242" s="12">
        <v>580315992</v>
      </c>
      <c r="C242" s="30" t="s">
        <v>345</v>
      </c>
      <c r="D242" s="17" t="s">
        <v>59</v>
      </c>
      <c r="E242" s="6">
        <v>97475</v>
      </c>
      <c r="F242" s="6">
        <v>62309</v>
      </c>
      <c r="G242" s="7">
        <f t="shared" si="42"/>
        <v>0.6392305719415234</v>
      </c>
      <c r="H242" s="14">
        <v>77886</v>
      </c>
      <c r="I242" s="15">
        <f t="shared" si="43"/>
        <v>68232.5</v>
      </c>
      <c r="J242" s="15">
        <f t="shared" si="44"/>
        <v>62308.8</v>
      </c>
      <c r="K242" s="85">
        <f t="shared" si="45"/>
        <v>0</v>
      </c>
      <c r="L242" s="79">
        <v>62308.808</v>
      </c>
      <c r="M242" s="86">
        <f>ROUND(VLOOKUP(B242,גיליון1!A222:B1192,2,0),0)</f>
        <v>77886</v>
      </c>
      <c r="N242" s="108"/>
    </row>
    <row r="243" spans="1:14" ht="15.75">
      <c r="A243">
        <v>239</v>
      </c>
      <c r="B243" s="13">
        <v>580316065</v>
      </c>
      <c r="C243" s="13" t="s">
        <v>346</v>
      </c>
      <c r="D243" s="13" t="s">
        <v>70</v>
      </c>
      <c r="E243" s="6">
        <v>257677.51793902632</v>
      </c>
      <c r="F243" s="6">
        <v>180374</v>
      </c>
      <c r="G243" s="7">
        <f t="shared" si="42"/>
        <v>0.6999989810623739</v>
      </c>
      <c r="H243" s="14">
        <v>246663</v>
      </c>
      <c r="I243" s="15">
        <f t="shared" si="43"/>
        <v>180374.2625573184</v>
      </c>
      <c r="J243" s="15">
        <f t="shared" si="44"/>
        <v>197330.40000000002</v>
      </c>
      <c r="K243" s="85">
        <f t="shared" si="45"/>
        <v>180374</v>
      </c>
      <c r="L243" s="79">
        <v>180374.2625573184</v>
      </c>
      <c r="M243" s="86">
        <f>ROUND(VLOOKUP(B243,גיליון1!A223:B1193,2,0),0)</f>
        <v>246665</v>
      </c>
      <c r="N243" s="108"/>
    </row>
    <row r="244" spans="1:14" ht="15.75">
      <c r="A244" s="3">
        <v>240</v>
      </c>
      <c r="B244" s="12">
        <v>580317584</v>
      </c>
      <c r="C244" s="13" t="s">
        <v>686</v>
      </c>
      <c r="D244" s="17" t="s">
        <v>59</v>
      </c>
      <c r="E244" s="6">
        <v>25843.25</v>
      </c>
      <c r="F244" s="6">
        <v>12922</v>
      </c>
      <c r="G244" s="7">
        <f t="shared" si="42"/>
        <v>0.50001451055885</v>
      </c>
      <c r="H244" s="14">
        <v>71957</v>
      </c>
      <c r="I244" s="15">
        <f t="shared" si="43"/>
        <v>18090.274999999998</v>
      </c>
      <c r="J244" s="15">
        <f t="shared" si="44"/>
        <v>57565.600000000006</v>
      </c>
      <c r="K244" s="85">
        <f t="shared" si="45"/>
        <v>18090</v>
      </c>
      <c r="L244" s="79">
        <v>12921.625000000002</v>
      </c>
      <c r="M244" s="86">
        <f>ROUND(VLOOKUP(B244,גיליון1!A224:B1194,2,0),0)</f>
        <v>71957</v>
      </c>
      <c r="N244" s="108"/>
    </row>
    <row r="245" spans="1:14" ht="15.75">
      <c r="A245">
        <v>241</v>
      </c>
      <c r="B245" s="12">
        <v>580317709</v>
      </c>
      <c r="C245" s="77" t="s">
        <v>716</v>
      </c>
      <c r="D245" s="4" t="s">
        <v>59</v>
      </c>
      <c r="E245" s="6">
        <v>23952.75</v>
      </c>
      <c r="F245" s="6">
        <v>11976</v>
      </c>
      <c r="G245" s="7">
        <f t="shared" si="42"/>
        <v>0.4999843441775996</v>
      </c>
      <c r="H245" s="14">
        <v>26764</v>
      </c>
      <c r="I245" s="15">
        <f t="shared" si="43"/>
        <v>16766.925</v>
      </c>
      <c r="J245" s="15">
        <f t="shared" si="44"/>
        <v>21411.2</v>
      </c>
      <c r="K245" s="85">
        <f t="shared" si="45"/>
        <v>16767</v>
      </c>
      <c r="L245" s="79">
        <v>11976.375</v>
      </c>
      <c r="M245" s="86">
        <f>ROUND(VLOOKUP(B245,גיליון1!A225:B1195,2,0),0)</f>
        <v>26764</v>
      </c>
      <c r="N245" s="108"/>
    </row>
    <row r="246" spans="1:14" ht="15.75">
      <c r="A246" s="3">
        <v>242</v>
      </c>
      <c r="B246" s="121">
        <v>580318830</v>
      </c>
      <c r="C246" s="120" t="s">
        <v>1069</v>
      </c>
      <c r="D246" s="13"/>
      <c r="E246" s="116">
        <v>36975</v>
      </c>
      <c r="F246" s="116">
        <v>18488</v>
      </c>
      <c r="G246" s="117"/>
      <c r="H246" s="118">
        <v>43818</v>
      </c>
      <c r="I246" s="15"/>
      <c r="J246" s="15"/>
      <c r="K246" s="110"/>
      <c r="L246" s="79"/>
      <c r="M246" s="86"/>
      <c r="N246" s="108"/>
    </row>
    <row r="247" spans="1:14" ht="15.75">
      <c r="A247">
        <v>243</v>
      </c>
      <c r="B247" s="12">
        <v>580320141</v>
      </c>
      <c r="C247" s="13" t="s">
        <v>509</v>
      </c>
      <c r="D247" s="13" t="s">
        <v>56</v>
      </c>
      <c r="E247" s="6">
        <v>94040</v>
      </c>
      <c r="F247" s="6">
        <v>57734</v>
      </c>
      <c r="G247" s="7">
        <f>F247/E247</f>
        <v>0.6139302424500213</v>
      </c>
      <c r="H247" s="14">
        <v>72168</v>
      </c>
      <c r="I247" s="15">
        <f>E247*$I$2</f>
        <v>65828</v>
      </c>
      <c r="J247" s="15">
        <f>H247*$J$2</f>
        <v>57734.4</v>
      </c>
      <c r="K247" s="85">
        <f>ROUND(IF(IF(MIN(I247,J247)&lt;F247,MIN(I247,J247)-F247,MIN(I247,J247))&lt;0,0,IF(MIN(I247,J247)&lt;F247,MIN(I247,J247)-F247,MIN(I247,J247))),0)</f>
        <v>57734</v>
      </c>
      <c r="L247" s="79">
        <v>57734.191999999995</v>
      </c>
      <c r="M247" s="86">
        <f>ROUND(VLOOKUP(B247,גיליון1!A226:B1196,2,0),0)</f>
        <v>72168</v>
      </c>
      <c r="N247" s="108"/>
    </row>
    <row r="248" spans="1:14" ht="15.75">
      <c r="A248" s="3">
        <v>244</v>
      </c>
      <c r="B248" s="41">
        <v>580320232</v>
      </c>
      <c r="C248" s="41" t="s">
        <v>1095</v>
      </c>
      <c r="D248" s="13"/>
      <c r="E248" s="116"/>
      <c r="F248" s="116"/>
      <c r="G248" s="117"/>
      <c r="H248" s="118">
        <v>18629</v>
      </c>
      <c r="I248" s="15"/>
      <c r="J248" s="15"/>
      <c r="K248" s="110"/>
      <c r="L248" s="79"/>
      <c r="M248" s="86"/>
      <c r="N248" s="108"/>
    </row>
    <row r="249" spans="1:14" ht="15.75">
      <c r="A249">
        <v>245</v>
      </c>
      <c r="B249" s="12">
        <v>580321347</v>
      </c>
      <c r="C249" s="13" t="s">
        <v>347</v>
      </c>
      <c r="D249" s="17" t="s">
        <v>59</v>
      </c>
      <c r="E249" s="6">
        <v>176227.25</v>
      </c>
      <c r="F249" s="6">
        <v>62695</v>
      </c>
      <c r="G249" s="7">
        <f aca="true" t="shared" si="46" ref="G249:G254">F249/E249</f>
        <v>0.35576223313931304</v>
      </c>
      <c r="H249" s="14">
        <v>62695</v>
      </c>
      <c r="I249" s="15">
        <f aca="true" t="shared" si="47" ref="I249:I254">E249*$I$2</f>
        <v>123359.075</v>
      </c>
      <c r="J249" s="15">
        <f aca="true" t="shared" si="48" ref="J249:J254">H249*$J$2</f>
        <v>50156</v>
      </c>
      <c r="K249" s="85">
        <f aca="true" t="shared" si="49" ref="K249:K254">ROUND(IF(IF(MIN(I249,J249)&lt;F249,MIN(I249,J249)-F249,MIN(I249,J249))&lt;0,0,IF(MIN(I249,J249)&lt;F249,MIN(I249,J249)-F249,MIN(I249,J249))),0)</f>
        <v>0</v>
      </c>
      <c r="L249" s="79">
        <v>88113.625</v>
      </c>
      <c r="M249" s="86">
        <f>ROUND(VLOOKUP(B249,גיליון1!A227:B1197,2,0),0)</f>
        <v>62694</v>
      </c>
      <c r="N249" s="108"/>
    </row>
    <row r="250" spans="1:14" ht="15.75">
      <c r="A250" s="3">
        <v>246</v>
      </c>
      <c r="B250" s="12">
        <v>580321552</v>
      </c>
      <c r="C250" s="77" t="s">
        <v>717</v>
      </c>
      <c r="D250" s="4" t="s">
        <v>68</v>
      </c>
      <c r="E250" s="6">
        <v>101498.25</v>
      </c>
      <c r="F250" s="6">
        <v>71048.775</v>
      </c>
      <c r="G250" s="7">
        <f t="shared" si="46"/>
        <v>0.7</v>
      </c>
      <c r="H250" s="14">
        <v>120281</v>
      </c>
      <c r="I250" s="15">
        <f t="shared" si="47"/>
        <v>71048.775</v>
      </c>
      <c r="J250" s="15">
        <f t="shared" si="48"/>
        <v>96224.8</v>
      </c>
      <c r="K250" s="85">
        <f t="shared" si="49"/>
        <v>71049</v>
      </c>
      <c r="L250" s="79">
        <v>71048.775</v>
      </c>
      <c r="M250" s="86">
        <f>ROUND(VLOOKUP(B250,גיליון1!A228:B1198,2,0),0)</f>
        <v>120278</v>
      </c>
      <c r="N250" s="108"/>
    </row>
    <row r="251" spans="1:14" ht="15.75">
      <c r="A251">
        <v>247</v>
      </c>
      <c r="B251" s="13">
        <v>580324127</v>
      </c>
      <c r="C251" s="13" t="s">
        <v>348</v>
      </c>
      <c r="D251" s="13" t="s">
        <v>90</v>
      </c>
      <c r="E251" s="6">
        <v>218368.5</v>
      </c>
      <c r="F251" s="6">
        <v>109184</v>
      </c>
      <c r="G251" s="7">
        <f t="shared" si="46"/>
        <v>0.49999885514623216</v>
      </c>
      <c r="H251" s="14">
        <v>130839</v>
      </c>
      <c r="I251" s="15">
        <f t="shared" si="47"/>
        <v>152857.94999999998</v>
      </c>
      <c r="J251" s="15">
        <f t="shared" si="48"/>
        <v>104671.20000000001</v>
      </c>
      <c r="K251" s="85">
        <f t="shared" si="49"/>
        <v>0</v>
      </c>
      <c r="L251" s="79">
        <v>109184.25</v>
      </c>
      <c r="M251" s="86">
        <f>ROUND(VLOOKUP(B251,גיליון1!A229:B1199,2,0),0)</f>
        <v>130839</v>
      </c>
      <c r="N251" s="108"/>
    </row>
    <row r="252" spans="1:14" ht="15.75">
      <c r="A252" s="3">
        <v>248</v>
      </c>
      <c r="B252" s="12">
        <v>580324192</v>
      </c>
      <c r="C252" s="13" t="s">
        <v>559</v>
      </c>
      <c r="D252" s="17" t="s">
        <v>59</v>
      </c>
      <c r="E252" s="6">
        <v>207370</v>
      </c>
      <c r="F252" s="6">
        <v>145159</v>
      </c>
      <c r="G252" s="7">
        <f t="shared" si="46"/>
        <v>0.7</v>
      </c>
      <c r="H252" s="14">
        <v>256796</v>
      </c>
      <c r="I252" s="15">
        <f t="shared" si="47"/>
        <v>145159</v>
      </c>
      <c r="J252" s="15">
        <f t="shared" si="48"/>
        <v>205436.80000000002</v>
      </c>
      <c r="K252" s="85">
        <f t="shared" si="49"/>
        <v>145159</v>
      </c>
      <c r="L252" s="79">
        <v>145159</v>
      </c>
      <c r="M252" s="86">
        <f>ROUND(VLOOKUP(B252,גיליון1!A230:B1200,2,0),0)</f>
        <v>256792</v>
      </c>
      <c r="N252" s="108"/>
    </row>
    <row r="253" spans="1:14" ht="15.75">
      <c r="A253">
        <v>249</v>
      </c>
      <c r="B253" s="12">
        <v>580325439</v>
      </c>
      <c r="C253" s="13" t="s">
        <v>687</v>
      </c>
      <c r="D253" s="13" t="s">
        <v>56</v>
      </c>
      <c r="E253" s="6">
        <v>16875</v>
      </c>
      <c r="F253" s="6">
        <v>8438</v>
      </c>
      <c r="G253" s="7">
        <f t="shared" si="46"/>
        <v>0.5000296296296296</v>
      </c>
      <c r="H253" s="14">
        <v>13207</v>
      </c>
      <c r="I253" s="15">
        <f t="shared" si="47"/>
        <v>11812.5</v>
      </c>
      <c r="J253" s="15">
        <f t="shared" si="48"/>
        <v>10565.6</v>
      </c>
      <c r="K253" s="85">
        <f t="shared" si="49"/>
        <v>10566</v>
      </c>
      <c r="L253" s="79">
        <v>8437.5</v>
      </c>
      <c r="M253" s="86">
        <f>ROUND(VLOOKUP(B253,גיליון1!A231:B1201,2,0),0)</f>
        <v>13207</v>
      </c>
      <c r="N253" s="108"/>
    </row>
    <row r="254" spans="1:14" ht="15.75">
      <c r="A254" s="3">
        <v>250</v>
      </c>
      <c r="B254" s="12">
        <v>580328599</v>
      </c>
      <c r="C254" s="12" t="s">
        <v>628</v>
      </c>
      <c r="D254" s="13" t="s">
        <v>59</v>
      </c>
      <c r="E254" s="6">
        <v>71043</v>
      </c>
      <c r="F254" s="6">
        <v>35522</v>
      </c>
      <c r="G254" s="7">
        <f t="shared" si="46"/>
        <v>0.5000070379910758</v>
      </c>
      <c r="H254" s="14">
        <v>144097</v>
      </c>
      <c r="I254" s="15">
        <f t="shared" si="47"/>
        <v>49730.1</v>
      </c>
      <c r="J254" s="15">
        <f t="shared" si="48"/>
        <v>115277.6</v>
      </c>
      <c r="K254" s="85">
        <f t="shared" si="49"/>
        <v>49730</v>
      </c>
      <c r="L254" s="79">
        <v>35521.5</v>
      </c>
      <c r="M254" s="86">
        <f>ROUND(VLOOKUP(B254,גיליון1!A232:B1202,2,0),0)</f>
        <v>144097</v>
      </c>
      <c r="N254" s="108"/>
    </row>
    <row r="255" spans="1:14" ht="15.75">
      <c r="A255">
        <v>251</v>
      </c>
      <c r="B255" s="131">
        <v>580329167</v>
      </c>
      <c r="C255" s="130" t="s">
        <v>943</v>
      </c>
      <c r="D255" s="13"/>
      <c r="E255" s="116"/>
      <c r="F255" s="116"/>
      <c r="G255" s="117"/>
      <c r="H255" s="118">
        <v>19771</v>
      </c>
      <c r="I255" s="15"/>
      <c r="J255" s="15"/>
      <c r="K255" s="110"/>
      <c r="L255" s="79"/>
      <c r="M255" s="86"/>
      <c r="N255" s="108"/>
    </row>
    <row r="256" spans="1:14" ht="15">
      <c r="A256" s="3">
        <v>252</v>
      </c>
      <c r="B256" s="41">
        <v>580329274</v>
      </c>
      <c r="C256" s="42" t="s">
        <v>349</v>
      </c>
      <c r="D256" s="42" t="s">
        <v>68</v>
      </c>
      <c r="E256" s="6">
        <v>211197</v>
      </c>
      <c r="F256" s="6">
        <v>147837.9</v>
      </c>
      <c r="G256" s="7">
        <f aca="true" t="shared" si="50" ref="G256:G261">F256/E256</f>
        <v>0.7</v>
      </c>
      <c r="H256" s="14">
        <v>217500</v>
      </c>
      <c r="I256" s="15">
        <f aca="true" t="shared" si="51" ref="I256:I261">E256*$I$2</f>
        <v>147837.9</v>
      </c>
      <c r="J256" s="15">
        <f aca="true" t="shared" si="52" ref="J256:J261">H256*$J$2</f>
        <v>174000</v>
      </c>
      <c r="K256" s="85">
        <f aca="true" t="shared" si="53" ref="K256:K261">ROUND(IF(IF(MIN(I256,J256)&lt;F256,MIN(I256,J256)-F256,MIN(I256,J256))&lt;0,0,IF(MIN(I256,J256)&lt;F256,MIN(I256,J256)-F256,MIN(I256,J256))),0)</f>
        <v>147838</v>
      </c>
      <c r="L256" s="79">
        <v>147837.9</v>
      </c>
      <c r="M256" s="86">
        <f>ROUND(VLOOKUP(B256,גיליון1!A233:B1203,2,0),0)</f>
        <v>217501</v>
      </c>
      <c r="N256" s="108"/>
    </row>
    <row r="257" spans="1:14" ht="15.75">
      <c r="A257">
        <v>253</v>
      </c>
      <c r="B257" s="53">
        <v>580329290</v>
      </c>
      <c r="C257" s="54" t="s">
        <v>656</v>
      </c>
      <c r="D257" s="54" t="s">
        <v>68</v>
      </c>
      <c r="E257" s="6">
        <v>58864.75</v>
      </c>
      <c r="F257" s="6">
        <v>23546</v>
      </c>
      <c r="G257" s="7">
        <f t="shared" si="50"/>
        <v>0.4000016988095592</v>
      </c>
      <c r="H257" s="14">
        <v>47882</v>
      </c>
      <c r="I257" s="15">
        <f t="shared" si="51"/>
        <v>41205.325</v>
      </c>
      <c r="J257" s="15">
        <f t="shared" si="52"/>
        <v>38305.6</v>
      </c>
      <c r="K257" s="85">
        <f t="shared" si="53"/>
        <v>38306</v>
      </c>
      <c r="L257" s="79">
        <v>23545.9</v>
      </c>
      <c r="M257" s="86">
        <f>ROUND(VLOOKUP(B257,גיליון1!A234:B1204,2,0),0)</f>
        <v>47882</v>
      </c>
      <c r="N257" s="108"/>
    </row>
    <row r="258" spans="1:14" ht="15">
      <c r="A258" s="3">
        <v>254</v>
      </c>
      <c r="B258" s="18">
        <v>580329316</v>
      </c>
      <c r="C258" s="4" t="s">
        <v>139</v>
      </c>
      <c r="D258" s="4" t="s">
        <v>68</v>
      </c>
      <c r="E258" s="6">
        <v>37917.5</v>
      </c>
      <c r="F258" s="6">
        <v>26542</v>
      </c>
      <c r="G258" s="7">
        <f t="shared" si="50"/>
        <v>0.6999934067383135</v>
      </c>
      <c r="H258" s="14">
        <v>41793</v>
      </c>
      <c r="I258" s="15">
        <f t="shared" si="51"/>
        <v>26542.25</v>
      </c>
      <c r="J258" s="15">
        <f t="shared" si="52"/>
        <v>33434.4</v>
      </c>
      <c r="K258" s="85">
        <f t="shared" si="53"/>
        <v>26542</v>
      </c>
      <c r="L258" s="79">
        <v>26542.25</v>
      </c>
      <c r="M258" s="86">
        <f>ROUND(VLOOKUP(B258,גיליון1!A235:B1205,2,0),0)</f>
        <v>41793</v>
      </c>
      <c r="N258" s="108"/>
    </row>
    <row r="259" spans="1:14" ht="15.75">
      <c r="A259">
        <v>255</v>
      </c>
      <c r="B259" s="12">
        <v>580329423</v>
      </c>
      <c r="C259" s="13" t="s">
        <v>140</v>
      </c>
      <c r="D259" s="13" t="s">
        <v>56</v>
      </c>
      <c r="E259" s="6">
        <v>47979</v>
      </c>
      <c r="F259" s="6">
        <v>30143</v>
      </c>
      <c r="G259" s="7">
        <f t="shared" si="50"/>
        <v>0.6282540278038309</v>
      </c>
      <c r="H259" s="14">
        <v>37679</v>
      </c>
      <c r="I259" s="15">
        <f t="shared" si="51"/>
        <v>33585.299999999996</v>
      </c>
      <c r="J259" s="15">
        <f t="shared" si="52"/>
        <v>30143.2</v>
      </c>
      <c r="K259" s="85">
        <f t="shared" si="53"/>
        <v>30143</v>
      </c>
      <c r="L259" s="79">
        <v>30142.936</v>
      </c>
      <c r="M259" s="86">
        <f>ROUND(VLOOKUP(B259,גיליון1!A236:B1206,2,0),0)</f>
        <v>37679</v>
      </c>
      <c r="N259" s="108"/>
    </row>
    <row r="260" spans="1:14" ht="15">
      <c r="A260" s="3">
        <v>256</v>
      </c>
      <c r="B260" s="18">
        <v>580330165</v>
      </c>
      <c r="C260" s="4" t="s">
        <v>141</v>
      </c>
      <c r="D260" s="4" t="s">
        <v>68</v>
      </c>
      <c r="E260" s="6">
        <v>1572</v>
      </c>
      <c r="F260" s="6">
        <v>892</v>
      </c>
      <c r="G260" s="7">
        <f t="shared" si="50"/>
        <v>0.5674300254452926</v>
      </c>
      <c r="H260" s="14">
        <v>1115</v>
      </c>
      <c r="I260" s="15">
        <f t="shared" si="51"/>
        <v>1100.3999999999999</v>
      </c>
      <c r="J260" s="15">
        <f t="shared" si="52"/>
        <v>892</v>
      </c>
      <c r="K260" s="85">
        <f t="shared" si="53"/>
        <v>892</v>
      </c>
      <c r="L260" s="79">
        <v>891.7120000000001</v>
      </c>
      <c r="M260" s="86">
        <f>ROUND(VLOOKUP(B260,גיליון1!A237:B1207,2,0),0)</f>
        <v>1115</v>
      </c>
      <c r="N260" s="108"/>
    </row>
    <row r="261" spans="1:14" ht="15.75">
      <c r="A261">
        <v>257</v>
      </c>
      <c r="B261" s="12">
        <v>580330447</v>
      </c>
      <c r="C261" s="77" t="s">
        <v>718</v>
      </c>
      <c r="D261" s="4" t="s">
        <v>56</v>
      </c>
      <c r="E261" s="6">
        <v>186956</v>
      </c>
      <c r="F261" s="6">
        <v>130869</v>
      </c>
      <c r="G261" s="7">
        <f t="shared" si="50"/>
        <v>0.6999989302295727</v>
      </c>
      <c r="H261" s="14">
        <v>185303</v>
      </c>
      <c r="I261" s="15">
        <f t="shared" si="51"/>
        <v>130869.2</v>
      </c>
      <c r="J261" s="15">
        <f t="shared" si="52"/>
        <v>148242.4</v>
      </c>
      <c r="K261" s="85">
        <f t="shared" si="53"/>
        <v>130869</v>
      </c>
      <c r="L261" s="79">
        <v>130869.2</v>
      </c>
      <c r="M261" s="86">
        <f>ROUND(VLOOKUP(B261,גיליון1!A238:B1208,2,0),0)</f>
        <v>185299</v>
      </c>
      <c r="N261" s="108"/>
    </row>
    <row r="262" spans="1:14" ht="15.75">
      <c r="A262" s="3">
        <v>258</v>
      </c>
      <c r="B262" s="120">
        <v>580330603</v>
      </c>
      <c r="C262" s="120" t="s">
        <v>1070</v>
      </c>
      <c r="D262" s="13"/>
      <c r="E262" s="116">
        <v>11263</v>
      </c>
      <c r="F262" s="116">
        <v>5604</v>
      </c>
      <c r="G262" s="117"/>
      <c r="H262" s="118">
        <v>11207</v>
      </c>
      <c r="I262" s="15"/>
      <c r="J262" s="15"/>
      <c r="K262" s="110"/>
      <c r="L262" s="79"/>
      <c r="M262" s="86"/>
      <c r="N262" s="108"/>
    </row>
    <row r="263" spans="1:14" ht="15.75">
      <c r="A263">
        <v>259</v>
      </c>
      <c r="B263" s="12">
        <v>580331270</v>
      </c>
      <c r="C263" s="13" t="s">
        <v>560</v>
      </c>
      <c r="D263" s="17" t="s">
        <v>59</v>
      </c>
      <c r="E263" s="6">
        <v>11419.25</v>
      </c>
      <c r="F263" s="6">
        <v>5756</v>
      </c>
      <c r="G263" s="7">
        <f>F263/E263</f>
        <v>0.5040611248549598</v>
      </c>
      <c r="H263" s="14">
        <v>7195</v>
      </c>
      <c r="I263" s="15">
        <f>E263*$I$2</f>
        <v>7993.474999999999</v>
      </c>
      <c r="J263" s="15">
        <f>H263*$J$2</f>
        <v>5756</v>
      </c>
      <c r="K263" s="85">
        <f>ROUND(IF(IF(MIN(I263,J263)&lt;F263,MIN(I263,J263)-F263,MIN(I263,J263))&lt;0,0,IF(MIN(I263,J263)&lt;F263,MIN(I263,J263)-F263,MIN(I263,J263))),0)</f>
        <v>5756</v>
      </c>
      <c r="L263" s="79">
        <v>5756.352</v>
      </c>
      <c r="M263" s="86">
        <f>ROUND(VLOOKUP(B263,גיליון1!A239:B1209,2,0),0)</f>
        <v>7195</v>
      </c>
      <c r="N263" s="108"/>
    </row>
    <row r="264" spans="1:14" ht="15.75">
      <c r="A264" s="3">
        <v>260</v>
      </c>
      <c r="B264" s="12">
        <v>580331379</v>
      </c>
      <c r="C264" s="13" t="s">
        <v>142</v>
      </c>
      <c r="D264" s="13" t="s">
        <v>56</v>
      </c>
      <c r="E264" s="6">
        <v>71099.25</v>
      </c>
      <c r="F264" s="6">
        <v>35550</v>
      </c>
      <c r="G264" s="7">
        <f>F264/E264</f>
        <v>0.5000052743172396</v>
      </c>
      <c r="H264" s="14">
        <v>38538</v>
      </c>
      <c r="I264" s="15">
        <f>E264*$I$2</f>
        <v>49769.475</v>
      </c>
      <c r="J264" s="15">
        <f>H264*$J$2</f>
        <v>30830.4</v>
      </c>
      <c r="K264" s="85">
        <f>ROUND(IF(IF(MIN(I264,J264)&lt;F264,MIN(I264,J264)-F264,MIN(I264,J264))&lt;0,0,IF(MIN(I264,J264)&lt;F264,MIN(I264,J264)-F264,MIN(I264,J264))),0)</f>
        <v>0</v>
      </c>
      <c r="L264" s="79">
        <v>35549.625</v>
      </c>
      <c r="M264" s="86">
        <f>ROUND(VLOOKUP(B264,גיליון1!A240:B1210,2,0),0)</f>
        <v>38538</v>
      </c>
      <c r="N264" s="108"/>
    </row>
    <row r="265" spans="1:14" ht="15.75">
      <c r="A265">
        <v>261</v>
      </c>
      <c r="B265" s="13">
        <v>580331510</v>
      </c>
      <c r="C265" s="13" t="s">
        <v>588</v>
      </c>
      <c r="D265" s="13" t="s">
        <v>70</v>
      </c>
      <c r="E265" s="6">
        <v>220330.25</v>
      </c>
      <c r="F265" s="6">
        <v>125128</v>
      </c>
      <c r="G265" s="7">
        <f>F265/E265</f>
        <v>0.5679111243236006</v>
      </c>
      <c r="H265" s="14">
        <v>156410</v>
      </c>
      <c r="I265" s="15">
        <f>E265*$I$2</f>
        <v>154231.175</v>
      </c>
      <c r="J265" s="15">
        <f>H265*$J$2</f>
        <v>125128</v>
      </c>
      <c r="K265" s="85">
        <f>ROUND(IF(IF(MIN(I265,J265)&lt;F265,MIN(I265,J265)-F265,MIN(I265,J265))&lt;0,0,IF(MIN(I265,J265)&lt;F265,MIN(I265,J265)-F265,MIN(I265,J265))),0)</f>
        <v>125128</v>
      </c>
      <c r="L265" s="79">
        <v>125128</v>
      </c>
      <c r="M265" s="86">
        <f>ROUND(VLOOKUP(B265,גיליון1!A241:B1211,2,0),0)</f>
        <v>156408</v>
      </c>
      <c r="N265" s="108"/>
    </row>
    <row r="266" spans="1:14" ht="15.75">
      <c r="A266" s="3">
        <v>262</v>
      </c>
      <c r="B266" s="12">
        <v>580332153</v>
      </c>
      <c r="C266" s="13" t="s">
        <v>758</v>
      </c>
      <c r="D266" s="13" t="s">
        <v>56</v>
      </c>
      <c r="E266" s="6">
        <v>36976</v>
      </c>
      <c r="F266" s="6">
        <v>14164</v>
      </c>
      <c r="G266" s="7">
        <f>F266/E266</f>
        <v>0.3830592816962354</v>
      </c>
      <c r="H266" s="14">
        <v>49229</v>
      </c>
      <c r="I266" s="15">
        <f>E266*$I$2</f>
        <v>25883.199999999997</v>
      </c>
      <c r="J266" s="15">
        <f>H266*$J$2</f>
        <v>39383.200000000004</v>
      </c>
      <c r="K266" s="85">
        <f>ROUND(IF(IF(MIN(I266,J266)&lt;F266,MIN(I266,J266)-F266,MIN(I266,J266))&lt;0,0,IF(MIN(I266,J266)&lt;F266,MIN(I266,J266)-F266,MIN(I266,J266))),0)</f>
        <v>25883</v>
      </c>
      <c r="L266" s="79">
        <v>14164</v>
      </c>
      <c r="M266" s="86">
        <f>ROUND(VLOOKUP(B266,גיליון1!A242:B1212,2,0),0)</f>
        <v>49229</v>
      </c>
      <c r="N266" s="108"/>
    </row>
    <row r="267" spans="1:14" ht="15.75">
      <c r="A267">
        <v>263</v>
      </c>
      <c r="B267" s="12">
        <v>580332757</v>
      </c>
      <c r="C267" s="13" t="s">
        <v>561</v>
      </c>
      <c r="D267" s="17" t="s">
        <v>59</v>
      </c>
      <c r="E267" s="6">
        <v>12037.5</v>
      </c>
      <c r="F267" s="6">
        <v>6019</v>
      </c>
      <c r="G267" s="7">
        <f>F267/E267</f>
        <v>0.5000207684319834</v>
      </c>
      <c r="H267" s="14">
        <v>5190</v>
      </c>
      <c r="I267" s="15">
        <f>E267*$I$2</f>
        <v>8426.25</v>
      </c>
      <c r="J267" s="15">
        <f>H267*$J$2</f>
        <v>4152</v>
      </c>
      <c r="K267" s="85">
        <f>ROUND(IF(IF(MIN(I267,J267)&lt;F267,MIN(I267,J267)-F267,MIN(I267,J267))&lt;0,0,IF(MIN(I267,J267)&lt;F267,MIN(I267,J267)-F267,MIN(I267,J267))),0)</f>
        <v>0</v>
      </c>
      <c r="L267" s="79">
        <v>6018.75</v>
      </c>
      <c r="M267" s="86">
        <f>ROUND(VLOOKUP(B267,גיליון1!A243:B1213,2,0),0)</f>
        <v>5190</v>
      </c>
      <c r="N267" s="108"/>
    </row>
    <row r="268" spans="1:14" ht="15.75">
      <c r="A268" s="3">
        <v>264</v>
      </c>
      <c r="B268" s="120">
        <v>580332799</v>
      </c>
      <c r="C268" s="120" t="s">
        <v>946</v>
      </c>
      <c r="D268" s="13"/>
      <c r="E268" s="116">
        <v>12306</v>
      </c>
      <c r="F268" s="116">
        <v>6153</v>
      </c>
      <c r="G268" s="117"/>
      <c r="H268" s="118">
        <v>18070</v>
      </c>
      <c r="I268" s="15"/>
      <c r="J268" s="15"/>
      <c r="K268" s="110"/>
      <c r="L268" s="79"/>
      <c r="M268" s="86"/>
      <c r="N268" s="108"/>
    </row>
    <row r="269" spans="1:14" ht="15.75">
      <c r="A269">
        <v>265</v>
      </c>
      <c r="B269" s="12">
        <v>580333045</v>
      </c>
      <c r="C269" s="13" t="s">
        <v>143</v>
      </c>
      <c r="D269" s="13" t="s">
        <v>56</v>
      </c>
      <c r="E269" s="6">
        <v>186893.5</v>
      </c>
      <c r="F269" s="6">
        <v>130825</v>
      </c>
      <c r="G269" s="7">
        <f>F269/E269</f>
        <v>0.6999975922116072</v>
      </c>
      <c r="H269" s="14">
        <v>355252</v>
      </c>
      <c r="I269" s="15">
        <f>E269*$I$2</f>
        <v>130825.45</v>
      </c>
      <c r="J269" s="15">
        <f>H269*$J$2</f>
        <v>284201.60000000003</v>
      </c>
      <c r="K269" s="85">
        <f>ROUND(IF(IF(MIN(I269,J269)&lt;F269,MIN(I269,J269)-F269,MIN(I269,J269))&lt;0,0,IF(MIN(I269,J269)&lt;F269,MIN(I269,J269)-F269,MIN(I269,J269))),0)</f>
        <v>130825</v>
      </c>
      <c r="L269" s="79">
        <v>130825.45</v>
      </c>
      <c r="M269" s="86">
        <f>ROUND(VLOOKUP(B269,גיליון1!A244:B1214,2,0),0)</f>
        <v>355252</v>
      </c>
      <c r="N269" s="108"/>
    </row>
    <row r="270" spans="1:14" ht="15.75">
      <c r="A270" s="3">
        <v>266</v>
      </c>
      <c r="B270" s="119">
        <v>580333243</v>
      </c>
      <c r="C270" s="45" t="s">
        <v>947</v>
      </c>
      <c r="D270" s="13"/>
      <c r="E270" s="116">
        <v>16947</v>
      </c>
      <c r="F270" s="116">
        <v>8474</v>
      </c>
      <c r="G270" s="117"/>
      <c r="H270" s="118">
        <v>18170</v>
      </c>
      <c r="I270" s="15"/>
      <c r="J270" s="15"/>
      <c r="K270" s="110"/>
      <c r="L270" s="79"/>
      <c r="M270" s="86"/>
      <c r="N270" s="108"/>
    </row>
    <row r="271" spans="1:14" ht="15.75">
      <c r="A271">
        <v>267</v>
      </c>
      <c r="B271" s="13">
        <v>580334696</v>
      </c>
      <c r="C271" s="13" t="s">
        <v>350</v>
      </c>
      <c r="D271" s="13" t="s">
        <v>64</v>
      </c>
      <c r="E271" s="6">
        <v>36727.25</v>
      </c>
      <c r="F271" s="6">
        <v>18364</v>
      </c>
      <c r="G271" s="7">
        <f aca="true" t="shared" si="54" ref="G271:G286">F271/E271</f>
        <v>0.5000102104023579</v>
      </c>
      <c r="H271" s="14">
        <v>34344</v>
      </c>
      <c r="I271" s="15">
        <f aca="true" t="shared" si="55" ref="I271:I286">E271*$I$2</f>
        <v>25709.074999999997</v>
      </c>
      <c r="J271" s="15">
        <f aca="true" t="shared" si="56" ref="J271:J286">H271*$J$2</f>
        <v>27475.2</v>
      </c>
      <c r="K271" s="85">
        <f aca="true" t="shared" si="57" ref="K271:K286">ROUND(IF(IF(MIN(I271,J271)&lt;F271,MIN(I271,J271)-F271,MIN(I271,J271))&lt;0,0,IF(MIN(I271,J271)&lt;F271,MIN(I271,J271)-F271,MIN(I271,J271))),0)</f>
        <v>25709</v>
      </c>
      <c r="L271" s="79">
        <v>18363.625</v>
      </c>
      <c r="M271" s="86">
        <f>ROUND(VLOOKUP(B271,גיליון1!A245:B1215,2,0),0)</f>
        <v>34344</v>
      </c>
      <c r="N271" s="108"/>
    </row>
    <row r="272" spans="1:14" ht="15.75">
      <c r="A272" s="3">
        <v>268</v>
      </c>
      <c r="B272" s="12">
        <v>580334738</v>
      </c>
      <c r="C272" s="13" t="s">
        <v>144</v>
      </c>
      <c r="D272" s="13" t="s">
        <v>56</v>
      </c>
      <c r="E272" s="6">
        <v>1159961.5</v>
      </c>
      <c r="F272" s="6">
        <v>811973</v>
      </c>
      <c r="G272" s="7">
        <f t="shared" si="54"/>
        <v>0.6999999568951211</v>
      </c>
      <c r="H272" s="14">
        <v>1128503</v>
      </c>
      <c r="I272" s="15">
        <f t="shared" si="55"/>
        <v>811973.0499999999</v>
      </c>
      <c r="J272" s="15">
        <f t="shared" si="56"/>
        <v>902802.4</v>
      </c>
      <c r="K272" s="85">
        <f t="shared" si="57"/>
        <v>811973</v>
      </c>
      <c r="L272" s="79">
        <v>811973.0499999999</v>
      </c>
      <c r="M272" s="86">
        <f>ROUND(VLOOKUP(B272,גיליון1!A246:B1216,2,0),0)</f>
        <v>1128502</v>
      </c>
      <c r="N272" s="108"/>
    </row>
    <row r="273" spans="1:14" ht="15.75">
      <c r="A273">
        <v>269</v>
      </c>
      <c r="B273" s="12">
        <v>580336154</v>
      </c>
      <c r="C273" s="13" t="s">
        <v>145</v>
      </c>
      <c r="D273" s="13" t="s">
        <v>56</v>
      </c>
      <c r="E273" s="6">
        <f>162048+70227</f>
        <v>232275</v>
      </c>
      <c r="F273" s="6">
        <v>106211</v>
      </c>
      <c r="G273" s="7">
        <f t="shared" si="54"/>
        <v>0.4572640189430632</v>
      </c>
      <c r="H273" s="14">
        <f>132764+74449</f>
        <v>207213</v>
      </c>
      <c r="I273" s="15">
        <f t="shared" si="55"/>
        <v>162592.5</v>
      </c>
      <c r="J273" s="15">
        <f t="shared" si="56"/>
        <v>165770.40000000002</v>
      </c>
      <c r="K273" s="85">
        <f t="shared" si="57"/>
        <v>162593</v>
      </c>
      <c r="L273" s="79">
        <v>106211.20000000001</v>
      </c>
      <c r="M273" s="86">
        <f>ROUND(VLOOKUP(B273,גיליון1!A247:B1217,2,0),0)</f>
        <v>132763</v>
      </c>
      <c r="N273" s="108"/>
    </row>
    <row r="274" spans="1:14" ht="15.75">
      <c r="A274" s="3">
        <v>270</v>
      </c>
      <c r="B274" s="12">
        <v>580336303</v>
      </c>
      <c r="C274" s="13" t="s">
        <v>351</v>
      </c>
      <c r="D274" s="17" t="s">
        <v>59</v>
      </c>
      <c r="E274" s="6">
        <v>44043</v>
      </c>
      <c r="F274" s="6">
        <v>22022</v>
      </c>
      <c r="G274" s="7">
        <f t="shared" si="54"/>
        <v>0.5000113525418342</v>
      </c>
      <c r="H274" s="14">
        <v>42474</v>
      </c>
      <c r="I274" s="15">
        <f t="shared" si="55"/>
        <v>30830.1</v>
      </c>
      <c r="J274" s="15">
        <f t="shared" si="56"/>
        <v>33979.200000000004</v>
      </c>
      <c r="K274" s="85">
        <f t="shared" si="57"/>
        <v>30830</v>
      </c>
      <c r="L274" s="79">
        <v>22021.5</v>
      </c>
      <c r="M274" s="86">
        <f>ROUND(VLOOKUP(B274,גיליון1!A248:B1218,2,0),0)</f>
        <v>42474</v>
      </c>
      <c r="N274" s="108"/>
    </row>
    <row r="275" spans="1:14" ht="15">
      <c r="A275">
        <v>271</v>
      </c>
      <c r="B275" s="41">
        <v>580337343</v>
      </c>
      <c r="C275" s="42" t="s">
        <v>352</v>
      </c>
      <c r="D275" s="42" t="s">
        <v>68</v>
      </c>
      <c r="E275" s="6">
        <v>10777.5</v>
      </c>
      <c r="F275" s="6">
        <v>5389</v>
      </c>
      <c r="G275" s="7">
        <f t="shared" si="54"/>
        <v>0.500023196474136</v>
      </c>
      <c r="H275" s="14">
        <v>12401</v>
      </c>
      <c r="I275" s="15">
        <f t="shared" si="55"/>
        <v>7544.249999999999</v>
      </c>
      <c r="J275" s="15">
        <f t="shared" si="56"/>
        <v>9920.800000000001</v>
      </c>
      <c r="K275" s="85">
        <f t="shared" si="57"/>
        <v>7544</v>
      </c>
      <c r="L275" s="79">
        <v>5388.75</v>
      </c>
      <c r="M275" s="86">
        <f>ROUND(VLOOKUP(B275,גיליון1!A249:B1219,2,0),0)</f>
        <v>12401</v>
      </c>
      <c r="N275" s="108"/>
    </row>
    <row r="276" spans="1:14" ht="15.75">
      <c r="A276" s="3">
        <v>272</v>
      </c>
      <c r="B276" s="37">
        <v>580342822</v>
      </c>
      <c r="C276" s="13" t="s">
        <v>268</v>
      </c>
      <c r="D276" s="13" t="s">
        <v>56</v>
      </c>
      <c r="E276" s="6">
        <f>207140.25+314487</f>
        <v>521627.25</v>
      </c>
      <c r="F276" s="6">
        <v>144998</v>
      </c>
      <c r="G276" s="7">
        <f t="shared" si="54"/>
        <v>0.2779724410486607</v>
      </c>
      <c r="H276" s="14">
        <f>214030+350000</f>
        <v>564030</v>
      </c>
      <c r="I276" s="15">
        <f t="shared" si="55"/>
        <v>365139.07499999995</v>
      </c>
      <c r="J276" s="15">
        <f t="shared" si="56"/>
        <v>451224</v>
      </c>
      <c r="K276" s="85">
        <f t="shared" si="57"/>
        <v>365139</v>
      </c>
      <c r="L276" s="79">
        <v>144998.175</v>
      </c>
      <c r="M276" s="86">
        <f>ROUND(VLOOKUP(B276,גיליון1!A250:B1220,2,0),0)</f>
        <v>214030</v>
      </c>
      <c r="N276" s="108"/>
    </row>
    <row r="277" spans="1:14" ht="15.75">
      <c r="A277">
        <v>273</v>
      </c>
      <c r="B277" s="12">
        <v>580343614</v>
      </c>
      <c r="C277" s="13" t="s">
        <v>146</v>
      </c>
      <c r="D277" s="13" t="s">
        <v>56</v>
      </c>
      <c r="E277" s="6">
        <v>70805.25</v>
      </c>
      <c r="F277" s="6">
        <v>43385.240000000005</v>
      </c>
      <c r="G277" s="7">
        <f t="shared" si="54"/>
        <v>0.6127404394448153</v>
      </c>
      <c r="H277" s="14">
        <v>54232</v>
      </c>
      <c r="I277" s="15">
        <f t="shared" si="55"/>
        <v>49563.674999999996</v>
      </c>
      <c r="J277" s="15">
        <f t="shared" si="56"/>
        <v>43385.600000000006</v>
      </c>
      <c r="K277" s="85">
        <f t="shared" si="57"/>
        <v>43386</v>
      </c>
      <c r="L277" s="79">
        <v>43385.240000000005</v>
      </c>
      <c r="M277" s="86">
        <f>ROUND(VLOOKUP(B277,גיליון1!A251:B1221,2,0),0)</f>
        <v>54232</v>
      </c>
      <c r="N277" s="108"/>
    </row>
    <row r="278" spans="1:14" ht="15.75">
      <c r="A278" s="3">
        <v>274</v>
      </c>
      <c r="B278" s="12">
        <v>580344802</v>
      </c>
      <c r="C278" s="13" t="s">
        <v>688</v>
      </c>
      <c r="D278" s="17" t="s">
        <v>59</v>
      </c>
      <c r="E278" s="6">
        <v>192657</v>
      </c>
      <c r="F278" s="6">
        <v>77063</v>
      </c>
      <c r="G278" s="7">
        <f t="shared" si="54"/>
        <v>0.40000103811436905</v>
      </c>
      <c r="H278" s="14">
        <v>277040</v>
      </c>
      <c r="I278" s="15">
        <f t="shared" si="55"/>
        <v>134859.9</v>
      </c>
      <c r="J278" s="15">
        <f t="shared" si="56"/>
        <v>221632</v>
      </c>
      <c r="K278" s="85">
        <f t="shared" si="57"/>
        <v>134860</v>
      </c>
      <c r="L278" s="79">
        <v>77062.8</v>
      </c>
      <c r="M278" s="86">
        <f>ROUND(VLOOKUP(B278,גיליון1!A252:B1222,2,0),0)</f>
        <v>277042</v>
      </c>
      <c r="N278" s="108"/>
    </row>
    <row r="279" spans="1:14" ht="15.75">
      <c r="A279">
        <v>275</v>
      </c>
      <c r="B279" s="12">
        <v>580345940</v>
      </c>
      <c r="C279" s="13" t="s">
        <v>437</v>
      </c>
      <c r="D279" s="17" t="s">
        <v>59</v>
      </c>
      <c r="E279" s="6">
        <v>290353.75</v>
      </c>
      <c r="F279" s="6">
        <v>145177</v>
      </c>
      <c r="G279" s="7">
        <f t="shared" si="54"/>
        <v>0.5000004305093356</v>
      </c>
      <c r="H279" s="14">
        <v>327670</v>
      </c>
      <c r="I279" s="15">
        <f t="shared" si="55"/>
        <v>203247.625</v>
      </c>
      <c r="J279" s="15">
        <f t="shared" si="56"/>
        <v>262136</v>
      </c>
      <c r="K279" s="85">
        <f t="shared" si="57"/>
        <v>203248</v>
      </c>
      <c r="L279" s="79">
        <v>145176.875</v>
      </c>
      <c r="M279" s="86">
        <f>ROUND(VLOOKUP(B279,גיליון1!A253:B1223,2,0),0)</f>
        <v>327667</v>
      </c>
      <c r="N279" s="108"/>
    </row>
    <row r="280" spans="1:14" ht="15.75">
      <c r="A280" s="3">
        <v>276</v>
      </c>
      <c r="B280" s="12">
        <v>580345973</v>
      </c>
      <c r="C280" s="13" t="s">
        <v>438</v>
      </c>
      <c r="D280" s="17" t="s">
        <v>59</v>
      </c>
      <c r="E280" s="6">
        <v>162627</v>
      </c>
      <c r="F280" s="6">
        <v>113711</v>
      </c>
      <c r="G280" s="7">
        <f t="shared" si="54"/>
        <v>0.6992135377274377</v>
      </c>
      <c r="H280" s="14">
        <v>198292</v>
      </c>
      <c r="I280" s="15">
        <f t="shared" si="55"/>
        <v>113838.9</v>
      </c>
      <c r="J280" s="15">
        <f t="shared" si="56"/>
        <v>158633.6</v>
      </c>
      <c r="K280" s="85">
        <f t="shared" si="57"/>
        <v>113839</v>
      </c>
      <c r="L280" s="79">
        <v>45357.725</v>
      </c>
      <c r="M280" s="86">
        <f>ROUND(VLOOKUP(B280,גיליון1!A254:B1224,2,0),0)</f>
        <v>198294</v>
      </c>
      <c r="N280" s="108"/>
    </row>
    <row r="281" spans="1:14" ht="15.75">
      <c r="A281">
        <v>277</v>
      </c>
      <c r="B281" s="12">
        <v>580346476</v>
      </c>
      <c r="C281" s="13" t="s">
        <v>147</v>
      </c>
      <c r="D281" s="17" t="s">
        <v>59</v>
      </c>
      <c r="E281" s="6">
        <f>396338.5+75922</f>
        <v>472260.5</v>
      </c>
      <c r="F281" s="6">
        <v>277437</v>
      </c>
      <c r="G281" s="7">
        <f t="shared" si="54"/>
        <v>0.5874660277537503</v>
      </c>
      <c r="H281" s="14">
        <f>417904+28684</f>
        <v>446588</v>
      </c>
      <c r="I281" s="15">
        <f t="shared" si="55"/>
        <v>330582.35</v>
      </c>
      <c r="J281" s="15">
        <f t="shared" si="56"/>
        <v>357270.4</v>
      </c>
      <c r="K281" s="85">
        <f t="shared" si="57"/>
        <v>330582</v>
      </c>
      <c r="L281" s="79">
        <v>277436.94999999995</v>
      </c>
      <c r="M281" s="86">
        <f>ROUND(VLOOKUP(B281,גיליון1!A255:B1225,2,0),0)</f>
        <v>417904</v>
      </c>
      <c r="N281" s="108"/>
    </row>
    <row r="282" spans="1:14" ht="15">
      <c r="A282" s="3">
        <v>278</v>
      </c>
      <c r="B282" s="18">
        <v>580346542</v>
      </c>
      <c r="C282" s="4" t="s">
        <v>148</v>
      </c>
      <c r="D282" s="4" t="s">
        <v>68</v>
      </c>
      <c r="E282" s="6">
        <v>1309.5</v>
      </c>
      <c r="F282" s="6">
        <v>655</v>
      </c>
      <c r="G282" s="7">
        <f t="shared" si="54"/>
        <v>0.5001909125620466</v>
      </c>
      <c r="H282" s="14">
        <v>660</v>
      </c>
      <c r="I282" s="15">
        <f t="shared" si="55"/>
        <v>916.65</v>
      </c>
      <c r="J282" s="15">
        <f t="shared" si="56"/>
        <v>528</v>
      </c>
      <c r="K282" s="85">
        <f t="shared" si="57"/>
        <v>0</v>
      </c>
      <c r="L282" s="79">
        <v>654.75</v>
      </c>
      <c r="M282" s="86">
        <f>ROUND(VLOOKUP(B282,גיליון1!A256:B1226,2,0),0)</f>
        <v>660</v>
      </c>
      <c r="N282" s="108"/>
    </row>
    <row r="283" spans="1:14" ht="15.75">
      <c r="A283">
        <v>279</v>
      </c>
      <c r="B283" s="60">
        <v>580346716</v>
      </c>
      <c r="C283" s="13" t="s">
        <v>749</v>
      </c>
      <c r="D283" s="13" t="s">
        <v>68</v>
      </c>
      <c r="E283" s="6">
        <v>10791.25</v>
      </c>
      <c r="F283" s="6">
        <v>5396</v>
      </c>
      <c r="G283" s="7">
        <f t="shared" si="54"/>
        <v>0.5000347503764624</v>
      </c>
      <c r="H283" s="14">
        <v>11426</v>
      </c>
      <c r="I283" s="15">
        <f t="shared" si="55"/>
        <v>7553.874999999999</v>
      </c>
      <c r="J283" s="15">
        <f t="shared" si="56"/>
        <v>9140.800000000001</v>
      </c>
      <c r="K283" s="85">
        <f t="shared" si="57"/>
        <v>7554</v>
      </c>
      <c r="L283" s="79">
        <v>5395.625</v>
      </c>
      <c r="M283" s="86">
        <f>ROUND(VLOOKUP(B283,גיליון1!A257:B1227,2,0),0)</f>
        <v>11426</v>
      </c>
      <c r="N283" s="108"/>
    </row>
    <row r="284" spans="1:14" ht="15.75">
      <c r="A284" s="3">
        <v>280</v>
      </c>
      <c r="B284" s="60">
        <v>580347425</v>
      </c>
      <c r="C284" s="13" t="s">
        <v>743</v>
      </c>
      <c r="D284" s="13" t="s">
        <v>59</v>
      </c>
      <c r="E284" s="6">
        <v>17443</v>
      </c>
      <c r="F284" s="6">
        <v>8722</v>
      </c>
      <c r="G284" s="7">
        <f t="shared" si="54"/>
        <v>0.5000286647939002</v>
      </c>
      <c r="H284" s="14">
        <v>25138</v>
      </c>
      <c r="I284" s="15">
        <f t="shared" si="55"/>
        <v>12210.099999999999</v>
      </c>
      <c r="J284" s="15">
        <f t="shared" si="56"/>
        <v>20110.4</v>
      </c>
      <c r="K284" s="85">
        <f t="shared" si="57"/>
        <v>12210</v>
      </c>
      <c r="L284" s="79">
        <v>8721.5</v>
      </c>
      <c r="M284" s="86">
        <f>ROUND(VLOOKUP(B284,גיליון1!A258:B1228,2,0),0)</f>
        <v>25138</v>
      </c>
      <c r="N284" s="108"/>
    </row>
    <row r="285" spans="1:14" ht="15.75">
      <c r="A285">
        <v>281</v>
      </c>
      <c r="B285" s="12">
        <v>580347532</v>
      </c>
      <c r="C285" s="13" t="s">
        <v>353</v>
      </c>
      <c r="D285" s="17" t="s">
        <v>59</v>
      </c>
      <c r="E285" s="6">
        <v>227597.75</v>
      </c>
      <c r="F285" s="6">
        <v>159318</v>
      </c>
      <c r="G285" s="7">
        <f t="shared" si="54"/>
        <v>0.699998132670468</v>
      </c>
      <c r="H285" s="14">
        <v>281054</v>
      </c>
      <c r="I285" s="15">
        <f t="shared" si="55"/>
        <v>159318.425</v>
      </c>
      <c r="J285" s="15">
        <f t="shared" si="56"/>
        <v>224843.2</v>
      </c>
      <c r="K285" s="85">
        <f t="shared" si="57"/>
        <v>159318</v>
      </c>
      <c r="L285" s="79">
        <v>159318.425</v>
      </c>
      <c r="M285" s="86">
        <f>ROUND(VLOOKUP(B285,גיליון1!A259:B1229,2,0),0)</f>
        <v>281057</v>
      </c>
      <c r="N285" s="108"/>
    </row>
    <row r="286" spans="1:14" ht="15.75">
      <c r="A286" s="3">
        <v>282</v>
      </c>
      <c r="B286" s="12">
        <v>580348480</v>
      </c>
      <c r="C286" s="13" t="s">
        <v>149</v>
      </c>
      <c r="D286" s="17" t="s">
        <v>59</v>
      </c>
      <c r="E286" s="6">
        <v>73655.75</v>
      </c>
      <c r="F286" s="6">
        <v>29462</v>
      </c>
      <c r="G286" s="7">
        <f t="shared" si="54"/>
        <v>0.39999592699823167</v>
      </c>
      <c r="H286" s="14">
        <v>87285</v>
      </c>
      <c r="I286" s="15">
        <f t="shared" si="55"/>
        <v>51559.024999999994</v>
      </c>
      <c r="J286" s="15">
        <f t="shared" si="56"/>
        <v>69828</v>
      </c>
      <c r="K286" s="85">
        <f t="shared" si="57"/>
        <v>51559</v>
      </c>
      <c r="L286" s="79">
        <v>29462.3</v>
      </c>
      <c r="M286" s="86">
        <f>ROUND(VLOOKUP(B286,גיליון1!A260:B1230,2,0),0)</f>
        <v>87285</v>
      </c>
      <c r="N286" s="108"/>
    </row>
    <row r="287" spans="1:14" ht="15.75">
      <c r="A287">
        <v>283</v>
      </c>
      <c r="B287" s="129">
        <v>580348589</v>
      </c>
      <c r="C287" s="130" t="s">
        <v>948</v>
      </c>
      <c r="D287" s="13"/>
      <c r="E287" s="116"/>
      <c r="F287" s="116"/>
      <c r="G287" s="117"/>
      <c r="H287" s="118">
        <v>14136</v>
      </c>
      <c r="I287" s="15"/>
      <c r="J287" s="15"/>
      <c r="K287" s="110"/>
      <c r="L287" s="79"/>
      <c r="M287" s="86"/>
      <c r="N287" s="108"/>
    </row>
    <row r="288" spans="1:14" ht="15">
      <c r="A288" s="3">
        <v>284</v>
      </c>
      <c r="B288" s="41">
        <v>580348886</v>
      </c>
      <c r="C288" s="42" t="s">
        <v>354</v>
      </c>
      <c r="D288" s="42" t="s">
        <v>68</v>
      </c>
      <c r="E288" s="6">
        <v>6093.5</v>
      </c>
      <c r="F288" s="6">
        <v>3047</v>
      </c>
      <c r="G288" s="7">
        <f>F288/E288</f>
        <v>0.5000410273241979</v>
      </c>
      <c r="H288" s="14">
        <v>3438</v>
      </c>
      <c r="I288" s="15">
        <f>E288*$I$2</f>
        <v>4265.45</v>
      </c>
      <c r="J288" s="15">
        <f>H288*$J$2</f>
        <v>2750.4</v>
      </c>
      <c r="K288" s="85">
        <f>ROUND(IF(IF(MIN(I288,J288)&lt;F288,MIN(I288,J288)-F288,MIN(I288,J288))&lt;0,0,IF(MIN(I288,J288)&lt;F288,MIN(I288,J288)-F288,MIN(I288,J288))),0)</f>
        <v>0</v>
      </c>
      <c r="L288" s="79">
        <v>3046.75</v>
      </c>
      <c r="M288" s="86">
        <f>ROUND(VLOOKUP(B288,גיליון1!A261:B1231,2,0),0)</f>
        <v>3438</v>
      </c>
      <c r="N288" s="108"/>
    </row>
    <row r="289" spans="1:14" ht="15.75">
      <c r="A289">
        <v>285</v>
      </c>
      <c r="B289" s="60">
        <v>580348944</v>
      </c>
      <c r="C289" s="13" t="s">
        <v>750</v>
      </c>
      <c r="D289" s="13" t="s">
        <v>59</v>
      </c>
      <c r="E289" s="6">
        <v>30051</v>
      </c>
      <c r="F289" s="6">
        <v>15026</v>
      </c>
      <c r="G289" s="7">
        <f>F289/E289</f>
        <v>0.5000166383814183</v>
      </c>
      <c r="H289" s="14">
        <v>35612</v>
      </c>
      <c r="I289" s="15">
        <f>E289*$I$2</f>
        <v>21035.699999999997</v>
      </c>
      <c r="J289" s="15">
        <f>H289*$J$2</f>
        <v>28489.600000000002</v>
      </c>
      <c r="K289" s="85">
        <f>ROUND(IF(IF(MIN(I289,J289)&lt;F289,MIN(I289,J289)-F289,MIN(I289,J289))&lt;0,0,IF(MIN(I289,J289)&lt;F289,MIN(I289,J289)-F289,MIN(I289,J289))),0)</f>
        <v>21036</v>
      </c>
      <c r="L289" s="79">
        <v>15025.5</v>
      </c>
      <c r="M289" s="86">
        <f>ROUND(VLOOKUP(B289,גיליון1!A262:B1232,2,0),0)</f>
        <v>35612</v>
      </c>
      <c r="N289" s="108"/>
    </row>
    <row r="290" spans="1:14" ht="15.75">
      <c r="A290" s="3">
        <v>286</v>
      </c>
      <c r="B290" s="12">
        <v>580349355</v>
      </c>
      <c r="C290" s="13" t="s">
        <v>150</v>
      </c>
      <c r="D290" s="13" t="s">
        <v>56</v>
      </c>
      <c r="E290" s="6">
        <f>582656.75+75922</f>
        <v>658578.75</v>
      </c>
      <c r="F290" s="6">
        <v>324069</v>
      </c>
      <c r="G290" s="7">
        <f>F290/E290</f>
        <v>0.4920732714197049</v>
      </c>
      <c r="H290" s="14">
        <f>405086+28684</f>
        <v>433770</v>
      </c>
      <c r="I290" s="15">
        <f>E290*$I$2</f>
        <v>461005.12499999994</v>
      </c>
      <c r="J290" s="15">
        <f>H290*$J$2</f>
        <v>347016</v>
      </c>
      <c r="K290" s="85">
        <f>ROUND(IF(IF(MIN(I290,J290)&lt;F290,MIN(I290,J290)-F290,MIN(I290,J290))&lt;0,0,IF(MIN(I290,J290)&lt;F290,MIN(I290,J290)-F290,MIN(I290,J290))),0)</f>
        <v>347016</v>
      </c>
      <c r="L290" s="79">
        <v>324068.80000000005</v>
      </c>
      <c r="M290" s="86">
        <f>ROUND(VLOOKUP(B290,גיליון1!A263:B1233,2,0),0)</f>
        <v>405082</v>
      </c>
      <c r="N290" s="108"/>
    </row>
    <row r="291" spans="1:14" ht="15.75">
      <c r="A291">
        <v>287</v>
      </c>
      <c r="B291" s="121">
        <v>580350080</v>
      </c>
      <c r="C291" s="120" t="s">
        <v>1071</v>
      </c>
      <c r="D291" s="13"/>
      <c r="E291" s="116">
        <v>83085</v>
      </c>
      <c r="F291" s="116">
        <v>32820</v>
      </c>
      <c r="G291" s="117"/>
      <c r="H291" s="118">
        <v>65640</v>
      </c>
      <c r="I291" s="15"/>
      <c r="J291" s="15"/>
      <c r="K291" s="110"/>
      <c r="L291" s="79"/>
      <c r="M291" s="86"/>
      <c r="N291" s="108"/>
    </row>
    <row r="292" spans="1:14" ht="15.75">
      <c r="A292" s="3">
        <v>288</v>
      </c>
      <c r="B292" s="12">
        <v>580350759</v>
      </c>
      <c r="C292" s="13" t="s">
        <v>510</v>
      </c>
      <c r="D292" s="17" t="s">
        <v>59</v>
      </c>
      <c r="E292" s="6">
        <v>321225</v>
      </c>
      <c r="F292" s="6">
        <v>224858</v>
      </c>
      <c r="G292" s="7">
        <f aca="true" t="shared" si="58" ref="G292:G311">F292/E292</f>
        <v>0.7000015565413651</v>
      </c>
      <c r="H292" s="14">
        <v>290757</v>
      </c>
      <c r="I292" s="15">
        <f aca="true" t="shared" si="59" ref="I292:I311">E292*$I$2</f>
        <v>224857.5</v>
      </c>
      <c r="J292" s="15">
        <f aca="true" t="shared" si="60" ref="J292:J311">H292*$J$2</f>
        <v>232605.6</v>
      </c>
      <c r="K292" s="85">
        <f aca="true" t="shared" si="61" ref="K292:K311">ROUND(IF(IF(MIN(I292,J292)&lt;F292,MIN(I292,J292)-F292,MIN(I292,J292))&lt;0,0,IF(MIN(I292,J292)&lt;F292,MIN(I292,J292)-F292,MIN(I292,J292))),0)</f>
        <v>0</v>
      </c>
      <c r="L292" s="79">
        <v>224857.5</v>
      </c>
      <c r="M292" s="86">
        <f>ROUND(VLOOKUP(B292,גיליון1!A264:B1234,2,0),0)</f>
        <v>290755</v>
      </c>
      <c r="N292" s="108"/>
    </row>
    <row r="293" spans="1:14" ht="15.75">
      <c r="A293">
        <v>289</v>
      </c>
      <c r="B293" s="12">
        <v>580351021</v>
      </c>
      <c r="C293" s="13" t="s">
        <v>151</v>
      </c>
      <c r="D293" s="13" t="s">
        <v>56</v>
      </c>
      <c r="E293" s="6">
        <f>543848.25+70227</f>
        <v>614075.25</v>
      </c>
      <c r="F293" s="6">
        <v>271924</v>
      </c>
      <c r="G293" s="7">
        <f t="shared" si="58"/>
        <v>0.4428186936373026</v>
      </c>
      <c r="H293" s="14">
        <f>336632+67681</f>
        <v>404313</v>
      </c>
      <c r="I293" s="15">
        <f t="shared" si="59"/>
        <v>429852.675</v>
      </c>
      <c r="J293" s="15">
        <f t="shared" si="60"/>
        <v>323450.4</v>
      </c>
      <c r="K293" s="85">
        <f t="shared" si="61"/>
        <v>323450</v>
      </c>
      <c r="L293" s="79">
        <v>271924.125</v>
      </c>
      <c r="M293" s="86">
        <f>ROUND(VLOOKUP(B293,גיליון1!A265:B1235,2,0),0)</f>
        <v>336632</v>
      </c>
      <c r="N293" s="108"/>
    </row>
    <row r="294" spans="1:14" ht="15.75">
      <c r="A294" s="3">
        <v>290</v>
      </c>
      <c r="B294" s="12">
        <v>580351716</v>
      </c>
      <c r="C294" s="13" t="s">
        <v>439</v>
      </c>
      <c r="D294" s="13" t="s">
        <v>56</v>
      </c>
      <c r="E294" s="6">
        <v>32261</v>
      </c>
      <c r="F294" s="6">
        <v>22583</v>
      </c>
      <c r="G294" s="7">
        <f t="shared" si="58"/>
        <v>0.700009299153777</v>
      </c>
      <c r="H294" s="14">
        <v>38231</v>
      </c>
      <c r="I294" s="15">
        <f t="shared" si="59"/>
        <v>22582.699999999997</v>
      </c>
      <c r="J294" s="15">
        <f t="shared" si="60"/>
        <v>30584.800000000003</v>
      </c>
      <c r="K294" s="85">
        <f t="shared" si="61"/>
        <v>0</v>
      </c>
      <c r="L294" s="79">
        <v>22582.699999999997</v>
      </c>
      <c r="M294" s="86">
        <f>ROUND(VLOOKUP(B294,גיליון1!A266:B1236,2,0),0)</f>
        <v>38231</v>
      </c>
      <c r="N294" s="108"/>
    </row>
    <row r="295" spans="1:14" ht="15.75">
      <c r="A295">
        <v>291</v>
      </c>
      <c r="B295" s="12">
        <v>580352441</v>
      </c>
      <c r="C295" s="13" t="s">
        <v>589</v>
      </c>
      <c r="D295" s="13" t="s">
        <v>56</v>
      </c>
      <c r="E295" s="6">
        <v>49385.25</v>
      </c>
      <c r="F295" s="6">
        <v>24693</v>
      </c>
      <c r="G295" s="7">
        <f t="shared" si="58"/>
        <v>0.5000075933603657</v>
      </c>
      <c r="H295" s="14">
        <v>54641</v>
      </c>
      <c r="I295" s="15">
        <f t="shared" si="59"/>
        <v>34569.674999999996</v>
      </c>
      <c r="J295" s="15">
        <f t="shared" si="60"/>
        <v>43712.8</v>
      </c>
      <c r="K295" s="85">
        <f t="shared" si="61"/>
        <v>34570</v>
      </c>
      <c r="L295" s="79">
        <v>24692.625000000004</v>
      </c>
      <c r="M295" s="86">
        <f>ROUND(VLOOKUP(B295,גיליון1!A267:B1237,2,0),0)</f>
        <v>54640</v>
      </c>
      <c r="N295" s="108"/>
    </row>
    <row r="296" spans="1:14" ht="15.75">
      <c r="A296" s="3">
        <v>292</v>
      </c>
      <c r="B296" s="53">
        <v>580352540</v>
      </c>
      <c r="C296" s="56" t="s">
        <v>657</v>
      </c>
      <c r="D296" s="55" t="s">
        <v>90</v>
      </c>
      <c r="E296" s="6">
        <v>580949</v>
      </c>
      <c r="F296" s="6">
        <v>400885</v>
      </c>
      <c r="G296" s="7">
        <f t="shared" si="58"/>
        <v>0.6900519666958718</v>
      </c>
      <c r="H296" s="14">
        <v>501107</v>
      </c>
      <c r="I296" s="15">
        <f t="shared" si="59"/>
        <v>406664.3</v>
      </c>
      <c r="J296" s="15">
        <f t="shared" si="60"/>
        <v>400885.60000000003</v>
      </c>
      <c r="K296" s="85">
        <f t="shared" si="61"/>
        <v>400886</v>
      </c>
      <c r="L296" s="79">
        <v>400885.288</v>
      </c>
      <c r="M296" s="86">
        <f>ROUND(VLOOKUP(B296,גיליון1!A268:B1238,2,0),0)</f>
        <v>501107</v>
      </c>
      <c r="N296" s="108"/>
    </row>
    <row r="297" spans="1:14" ht="15.75">
      <c r="A297">
        <v>293</v>
      </c>
      <c r="B297" s="12">
        <v>580352771</v>
      </c>
      <c r="C297" s="13" t="s">
        <v>152</v>
      </c>
      <c r="D297" s="13" t="s">
        <v>56</v>
      </c>
      <c r="E297" s="6">
        <v>93005.20000000001</v>
      </c>
      <c r="F297" s="6">
        <v>65104</v>
      </c>
      <c r="G297" s="7">
        <f t="shared" si="58"/>
        <v>0.7000038707513128</v>
      </c>
      <c r="H297" s="14">
        <v>171666</v>
      </c>
      <c r="I297" s="15">
        <f t="shared" si="59"/>
        <v>65103.64000000001</v>
      </c>
      <c r="J297" s="15">
        <f t="shared" si="60"/>
        <v>137332.80000000002</v>
      </c>
      <c r="K297" s="85">
        <f t="shared" si="61"/>
        <v>0</v>
      </c>
      <c r="L297" s="79">
        <v>65103.64000000001</v>
      </c>
      <c r="M297" s="86">
        <f>ROUND(VLOOKUP(B297,גיליון1!A269:B1239,2,0),0)</f>
        <v>171666</v>
      </c>
      <c r="N297" s="108"/>
    </row>
    <row r="298" spans="1:14" ht="15.75">
      <c r="A298" s="3">
        <v>294</v>
      </c>
      <c r="B298" s="13">
        <v>580352797</v>
      </c>
      <c r="C298" s="30" t="s">
        <v>153</v>
      </c>
      <c r="D298" s="20" t="s">
        <v>90</v>
      </c>
      <c r="E298" s="6">
        <v>76320.75</v>
      </c>
      <c r="F298" s="6">
        <v>47470</v>
      </c>
      <c r="G298" s="7">
        <f t="shared" si="58"/>
        <v>0.6219802609382115</v>
      </c>
      <c r="H298" s="14">
        <v>59337</v>
      </c>
      <c r="I298" s="15">
        <f t="shared" si="59"/>
        <v>53424.524999999994</v>
      </c>
      <c r="J298" s="15">
        <f t="shared" si="60"/>
        <v>47469.600000000006</v>
      </c>
      <c r="K298" s="85">
        <f t="shared" si="61"/>
        <v>0</v>
      </c>
      <c r="L298" s="79">
        <v>47469.920000000006</v>
      </c>
      <c r="M298" s="86">
        <f>ROUND(VLOOKUP(B298,גיליון1!A270:B1240,2,0),0)</f>
        <v>59337</v>
      </c>
      <c r="N298" s="108"/>
    </row>
    <row r="299" spans="1:14" ht="15.75">
      <c r="A299">
        <v>295</v>
      </c>
      <c r="B299" s="12">
        <v>580353076</v>
      </c>
      <c r="C299" s="13" t="s">
        <v>269</v>
      </c>
      <c r="D299" s="17" t="s">
        <v>59</v>
      </c>
      <c r="E299" s="6">
        <v>373892</v>
      </c>
      <c r="F299" s="6">
        <v>186946</v>
      </c>
      <c r="G299" s="7">
        <f t="shared" si="58"/>
        <v>0.5</v>
      </c>
      <c r="H299" s="14">
        <v>189485</v>
      </c>
      <c r="I299" s="15">
        <f t="shared" si="59"/>
        <v>261724.4</v>
      </c>
      <c r="J299" s="15">
        <f t="shared" si="60"/>
        <v>151588</v>
      </c>
      <c r="K299" s="85">
        <f t="shared" si="61"/>
        <v>0</v>
      </c>
      <c r="L299" s="79">
        <v>136423.5</v>
      </c>
      <c r="M299" s="86">
        <f>ROUND(VLOOKUP(B299,גיליון1!A271:B1241,2,0),0)</f>
        <v>189479</v>
      </c>
      <c r="N299" s="108"/>
    </row>
    <row r="300" spans="1:14" ht="15">
      <c r="A300" s="3">
        <v>296</v>
      </c>
      <c r="B300" s="22">
        <v>580353233</v>
      </c>
      <c r="C300" s="17" t="s">
        <v>154</v>
      </c>
      <c r="D300" s="17" t="s">
        <v>59</v>
      </c>
      <c r="E300" s="6">
        <v>173041</v>
      </c>
      <c r="F300" s="6">
        <v>116706</v>
      </c>
      <c r="G300" s="7">
        <f t="shared" si="58"/>
        <v>0.6744413173756508</v>
      </c>
      <c r="H300" s="14">
        <v>145882</v>
      </c>
      <c r="I300" s="15">
        <f t="shared" si="59"/>
        <v>121128.7</v>
      </c>
      <c r="J300" s="15">
        <f t="shared" si="60"/>
        <v>116705.6</v>
      </c>
      <c r="K300" s="85">
        <f t="shared" si="61"/>
        <v>0</v>
      </c>
      <c r="L300" s="79">
        <v>116705.6</v>
      </c>
      <c r="M300" s="86">
        <f>ROUND(VLOOKUP(B300,גיליון1!A272:B1242,2,0),0)</f>
        <v>145879</v>
      </c>
      <c r="N300" s="108"/>
    </row>
    <row r="301" spans="1:14" ht="15.75">
      <c r="A301">
        <v>297</v>
      </c>
      <c r="B301" s="37">
        <v>580353357</v>
      </c>
      <c r="C301" s="13" t="s">
        <v>355</v>
      </c>
      <c r="D301" s="13" t="s">
        <v>68</v>
      </c>
      <c r="E301" s="6">
        <v>42618</v>
      </c>
      <c r="F301" s="6">
        <v>19795</v>
      </c>
      <c r="G301" s="7">
        <f t="shared" si="58"/>
        <v>0.46447510441597445</v>
      </c>
      <c r="H301" s="14">
        <v>73038</v>
      </c>
      <c r="I301" s="15">
        <f t="shared" si="59"/>
        <v>29832.6</v>
      </c>
      <c r="J301" s="15">
        <f t="shared" si="60"/>
        <v>58430.4</v>
      </c>
      <c r="K301" s="85">
        <f t="shared" si="61"/>
        <v>29833</v>
      </c>
      <c r="L301" s="79">
        <v>19795.125</v>
      </c>
      <c r="M301" s="86">
        <f>ROUND(VLOOKUP(B301,גיליון1!A273:B1243,2,0),0)</f>
        <v>73038</v>
      </c>
      <c r="N301" s="108"/>
    </row>
    <row r="302" spans="1:14" ht="15">
      <c r="A302" s="3">
        <v>298</v>
      </c>
      <c r="B302" s="18">
        <v>580353373</v>
      </c>
      <c r="C302" s="4" t="s">
        <v>731</v>
      </c>
      <c r="D302" s="4" t="s">
        <v>68</v>
      </c>
      <c r="E302" s="6">
        <v>197887.75</v>
      </c>
      <c r="F302" s="6">
        <v>98944</v>
      </c>
      <c r="G302" s="7">
        <f t="shared" si="58"/>
        <v>0.5000006316712379</v>
      </c>
      <c r="H302" s="14">
        <v>201667</v>
      </c>
      <c r="I302" s="15">
        <f t="shared" si="59"/>
        <v>138521.425</v>
      </c>
      <c r="J302" s="15">
        <f t="shared" si="60"/>
        <v>161333.6</v>
      </c>
      <c r="K302" s="85">
        <f t="shared" si="61"/>
        <v>138521</v>
      </c>
      <c r="L302" s="79">
        <v>98943.875</v>
      </c>
      <c r="M302" s="86">
        <f>ROUND(VLOOKUP(B302,גיליון1!A274:B1244,2,0),0)</f>
        <v>201669</v>
      </c>
      <c r="N302" s="108"/>
    </row>
    <row r="303" spans="1:14" ht="15">
      <c r="A303">
        <v>299</v>
      </c>
      <c r="B303" s="18">
        <v>580353381</v>
      </c>
      <c r="C303" s="4" t="s">
        <v>689</v>
      </c>
      <c r="D303" s="4" t="s">
        <v>68</v>
      </c>
      <c r="E303" s="6">
        <v>475932.75</v>
      </c>
      <c r="F303" s="6">
        <v>285559.65</v>
      </c>
      <c r="G303" s="7">
        <f t="shared" si="58"/>
        <v>0.6000000000000001</v>
      </c>
      <c r="H303" s="14">
        <v>430482</v>
      </c>
      <c r="I303" s="15">
        <f t="shared" si="59"/>
        <v>333152.925</v>
      </c>
      <c r="J303" s="15">
        <f t="shared" si="60"/>
        <v>344385.60000000003</v>
      </c>
      <c r="K303" s="85">
        <f t="shared" si="61"/>
        <v>333153</v>
      </c>
      <c r="L303" s="79">
        <v>285559.65</v>
      </c>
      <c r="M303" s="86">
        <f>ROUND(VLOOKUP(B303,גיליון1!A275:B1245,2,0),0)</f>
        <v>430483</v>
      </c>
      <c r="N303" s="108"/>
    </row>
    <row r="304" spans="1:14" ht="15.75">
      <c r="A304" s="3">
        <v>300</v>
      </c>
      <c r="B304" s="12">
        <v>580353670</v>
      </c>
      <c r="C304" s="13" t="s">
        <v>356</v>
      </c>
      <c r="D304" s="17" t="s">
        <v>59</v>
      </c>
      <c r="E304" s="6">
        <v>68090.5</v>
      </c>
      <c r="F304" s="6">
        <v>34045</v>
      </c>
      <c r="G304" s="7">
        <f t="shared" si="58"/>
        <v>0.4999963284158583</v>
      </c>
      <c r="H304" s="14">
        <v>70824</v>
      </c>
      <c r="I304" s="15">
        <f t="shared" si="59"/>
        <v>47663.35</v>
      </c>
      <c r="J304" s="15">
        <f t="shared" si="60"/>
        <v>56659.200000000004</v>
      </c>
      <c r="K304" s="85">
        <f t="shared" si="61"/>
        <v>47663</v>
      </c>
      <c r="L304" s="79">
        <v>34045.25</v>
      </c>
      <c r="M304" s="86">
        <f>ROUND(VLOOKUP(B304,גיליון1!A276:B1246,2,0),0)</f>
        <v>70824</v>
      </c>
      <c r="N304" s="108"/>
    </row>
    <row r="305" spans="1:14" ht="15.75">
      <c r="A305">
        <v>301</v>
      </c>
      <c r="B305" s="12">
        <v>580354546</v>
      </c>
      <c r="C305" s="13" t="s">
        <v>440</v>
      </c>
      <c r="D305" s="17" t="s">
        <v>59</v>
      </c>
      <c r="E305" s="6">
        <v>95071</v>
      </c>
      <c r="F305" s="6">
        <v>47536</v>
      </c>
      <c r="G305" s="7">
        <f t="shared" si="58"/>
        <v>0.5000052592273143</v>
      </c>
      <c r="H305" s="14">
        <v>113587</v>
      </c>
      <c r="I305" s="15">
        <f t="shared" si="59"/>
        <v>66549.7</v>
      </c>
      <c r="J305" s="15">
        <f t="shared" si="60"/>
        <v>90869.6</v>
      </c>
      <c r="K305" s="85">
        <f t="shared" si="61"/>
        <v>66550</v>
      </c>
      <c r="L305" s="79">
        <v>47535.5</v>
      </c>
      <c r="M305" s="86">
        <f>ROUND(VLOOKUP(B305,גיליון1!A277:B1247,2,0),0)</f>
        <v>113585</v>
      </c>
      <c r="N305" s="108"/>
    </row>
    <row r="306" spans="1:14" ht="15.75">
      <c r="A306" s="3">
        <v>302</v>
      </c>
      <c r="B306" s="12">
        <v>580354991</v>
      </c>
      <c r="C306" s="13" t="s">
        <v>155</v>
      </c>
      <c r="D306" s="17" t="s">
        <v>59</v>
      </c>
      <c r="E306" s="6">
        <v>588179.75</v>
      </c>
      <c r="F306" s="6">
        <v>411726</v>
      </c>
      <c r="G306" s="7">
        <f t="shared" si="58"/>
        <v>0.7000002975280941</v>
      </c>
      <c r="H306" s="14">
        <v>640819</v>
      </c>
      <c r="I306" s="15">
        <f t="shared" si="59"/>
        <v>411725.82499999995</v>
      </c>
      <c r="J306" s="15">
        <f t="shared" si="60"/>
        <v>512655.2</v>
      </c>
      <c r="K306" s="85">
        <f t="shared" si="61"/>
        <v>0</v>
      </c>
      <c r="L306" s="79">
        <v>411725.82499999995</v>
      </c>
      <c r="M306" s="86">
        <f>ROUND(VLOOKUP(B306,גיליון1!A278:B1248,2,0),0)</f>
        <v>640820</v>
      </c>
      <c r="N306" s="108"/>
    </row>
    <row r="307" spans="1:14" ht="15.75">
      <c r="A307">
        <v>303</v>
      </c>
      <c r="B307" s="12">
        <v>580355014</v>
      </c>
      <c r="C307" s="13" t="s">
        <v>690</v>
      </c>
      <c r="D307" s="17" t="s">
        <v>59</v>
      </c>
      <c r="E307" s="6">
        <v>77928.75</v>
      </c>
      <c r="F307" s="6">
        <v>54550</v>
      </c>
      <c r="G307" s="7">
        <f t="shared" si="58"/>
        <v>0.6999983959706784</v>
      </c>
      <c r="H307" s="14">
        <v>92346</v>
      </c>
      <c r="I307" s="15">
        <f t="shared" si="59"/>
        <v>54550.125</v>
      </c>
      <c r="J307" s="15">
        <f t="shared" si="60"/>
        <v>73876.8</v>
      </c>
      <c r="K307" s="85">
        <f t="shared" si="61"/>
        <v>54550</v>
      </c>
      <c r="L307" s="79">
        <v>54550.125</v>
      </c>
      <c r="M307" s="86">
        <f>ROUND(VLOOKUP(B307,גיליון1!A279:B1249,2,0),0)</f>
        <v>92347</v>
      </c>
      <c r="N307" s="108"/>
    </row>
    <row r="308" spans="1:14" ht="15.75">
      <c r="A308" s="3">
        <v>304</v>
      </c>
      <c r="B308" s="12">
        <v>580355030</v>
      </c>
      <c r="C308" s="13" t="s">
        <v>270</v>
      </c>
      <c r="D308" s="17" t="s">
        <v>59</v>
      </c>
      <c r="E308" s="6">
        <v>106065.5</v>
      </c>
      <c r="F308" s="6">
        <v>74246</v>
      </c>
      <c r="G308" s="7">
        <f t="shared" si="58"/>
        <v>0.7000014142204581</v>
      </c>
      <c r="H308" s="14">
        <v>125692</v>
      </c>
      <c r="I308" s="15">
        <f t="shared" si="59"/>
        <v>74245.84999999999</v>
      </c>
      <c r="J308" s="15">
        <f t="shared" si="60"/>
        <v>100553.6</v>
      </c>
      <c r="K308" s="85">
        <f t="shared" si="61"/>
        <v>0</v>
      </c>
      <c r="L308" s="79">
        <v>74245.84999999999</v>
      </c>
      <c r="M308" s="86">
        <f>ROUND(VLOOKUP(B308,גיליון1!A280:B1250,2,0),0)</f>
        <v>125690</v>
      </c>
      <c r="N308" s="108"/>
    </row>
    <row r="309" spans="1:14" ht="15.75">
      <c r="A309">
        <v>305</v>
      </c>
      <c r="B309" s="12">
        <v>580355048</v>
      </c>
      <c r="C309" s="77" t="s">
        <v>719</v>
      </c>
      <c r="D309" s="4" t="s">
        <v>59</v>
      </c>
      <c r="E309" s="6">
        <v>41741</v>
      </c>
      <c r="F309" s="6">
        <v>20871</v>
      </c>
      <c r="G309" s="7">
        <f t="shared" si="58"/>
        <v>0.5000119786301238</v>
      </c>
      <c r="H309" s="14">
        <v>60052</v>
      </c>
      <c r="I309" s="15">
        <f t="shared" si="59"/>
        <v>29218.699999999997</v>
      </c>
      <c r="J309" s="15">
        <f t="shared" si="60"/>
        <v>48041.600000000006</v>
      </c>
      <c r="K309" s="85">
        <f t="shared" si="61"/>
        <v>29219</v>
      </c>
      <c r="L309" s="79">
        <v>20870.5</v>
      </c>
      <c r="M309" s="86">
        <f>ROUND(VLOOKUP(B309,גיליון1!A281:B1251,2,0),0)</f>
        <v>60052</v>
      </c>
      <c r="N309" s="108"/>
    </row>
    <row r="310" spans="1:14" ht="15.75">
      <c r="A310" s="3">
        <v>306</v>
      </c>
      <c r="B310" s="12">
        <v>580355055</v>
      </c>
      <c r="C310" s="13" t="s">
        <v>271</v>
      </c>
      <c r="D310" s="17" t="s">
        <v>59</v>
      </c>
      <c r="E310" s="6">
        <v>29955</v>
      </c>
      <c r="F310" s="6">
        <v>16749</v>
      </c>
      <c r="G310" s="7">
        <f t="shared" si="58"/>
        <v>0.5591387080620931</v>
      </c>
      <c r="H310" s="14">
        <v>20936</v>
      </c>
      <c r="I310" s="15">
        <f t="shared" si="59"/>
        <v>20968.5</v>
      </c>
      <c r="J310" s="15">
        <f t="shared" si="60"/>
        <v>16748.8</v>
      </c>
      <c r="K310" s="85">
        <f t="shared" si="61"/>
        <v>0</v>
      </c>
      <c r="L310" s="79">
        <v>16748.8</v>
      </c>
      <c r="M310" s="86">
        <f>ROUND(VLOOKUP(B310,גיליון1!A282:B1252,2,0),0)</f>
        <v>20935</v>
      </c>
      <c r="N310" s="108"/>
    </row>
    <row r="311" spans="1:14" ht="15.75">
      <c r="A311">
        <v>307</v>
      </c>
      <c r="B311" s="12">
        <v>580355782</v>
      </c>
      <c r="C311" s="13" t="s">
        <v>357</v>
      </c>
      <c r="D311" s="13" t="s">
        <v>56</v>
      </c>
      <c r="E311" s="6">
        <v>55390</v>
      </c>
      <c r="F311" s="6">
        <v>38773</v>
      </c>
      <c r="G311" s="7">
        <f t="shared" si="58"/>
        <v>0.7</v>
      </c>
      <c r="H311" s="14">
        <v>65640</v>
      </c>
      <c r="I311" s="15">
        <f t="shared" si="59"/>
        <v>38773</v>
      </c>
      <c r="J311" s="15">
        <f t="shared" si="60"/>
        <v>52512</v>
      </c>
      <c r="K311" s="85">
        <f t="shared" si="61"/>
        <v>38773</v>
      </c>
      <c r="L311" s="79">
        <v>38773</v>
      </c>
      <c r="M311" s="86">
        <f>ROUND(VLOOKUP(B311,גיליון1!A283:B1253,2,0),0)</f>
        <v>65638</v>
      </c>
      <c r="N311" s="108"/>
    </row>
    <row r="312" spans="1:14" ht="15.75">
      <c r="A312" s="3">
        <v>308</v>
      </c>
      <c r="B312" s="129">
        <v>580356178</v>
      </c>
      <c r="C312" s="130" t="s">
        <v>1096</v>
      </c>
      <c r="D312" s="13"/>
      <c r="E312" s="116"/>
      <c r="F312" s="116"/>
      <c r="G312" s="117"/>
      <c r="H312" s="118">
        <v>85265</v>
      </c>
      <c r="I312" s="15"/>
      <c r="J312" s="15"/>
      <c r="K312" s="110"/>
      <c r="L312" s="79"/>
      <c r="M312" s="86"/>
      <c r="N312" s="108"/>
    </row>
    <row r="313" spans="1:14" ht="15.75">
      <c r="A313">
        <v>309</v>
      </c>
      <c r="B313" s="12">
        <v>580356988</v>
      </c>
      <c r="C313" s="13" t="s">
        <v>441</v>
      </c>
      <c r="D313" s="17" t="s">
        <v>59</v>
      </c>
      <c r="E313" s="6">
        <v>83743.5</v>
      </c>
      <c r="F313" s="6">
        <v>58620</v>
      </c>
      <c r="G313" s="7">
        <f aca="true" t="shared" si="62" ref="G313:G335">F313/E313</f>
        <v>0.6999946264486199</v>
      </c>
      <c r="H313" s="14">
        <v>162528</v>
      </c>
      <c r="I313" s="15">
        <f aca="true" t="shared" si="63" ref="I313:I335">E313*$I$2</f>
        <v>58620.45</v>
      </c>
      <c r="J313" s="15">
        <f aca="true" t="shared" si="64" ref="J313:J335">H313*$J$2</f>
        <v>130022.40000000001</v>
      </c>
      <c r="K313" s="85">
        <f aca="true" t="shared" si="65" ref="K313:K335">ROUND(IF(IF(MIN(I313,J313)&lt;F313,MIN(I313,J313)-F313,MIN(I313,J313))&lt;0,0,IF(MIN(I313,J313)&lt;F313,MIN(I313,J313)-F313,MIN(I313,J313))),0)</f>
        <v>58620</v>
      </c>
      <c r="L313" s="79">
        <v>58620.45</v>
      </c>
      <c r="M313" s="86">
        <f>ROUND(VLOOKUP(B313,גיליון1!A284:B1254,2,0),0)</f>
        <v>162524</v>
      </c>
      <c r="N313" s="108"/>
    </row>
    <row r="314" spans="1:14" ht="15.75">
      <c r="A314" s="3">
        <v>310</v>
      </c>
      <c r="B314" s="12">
        <v>580357119</v>
      </c>
      <c r="C314" s="13" t="s">
        <v>732</v>
      </c>
      <c r="D314" s="17" t="s">
        <v>59</v>
      </c>
      <c r="E314" s="6">
        <v>174763</v>
      </c>
      <c r="F314" s="6">
        <v>87382</v>
      </c>
      <c r="G314" s="7">
        <f t="shared" si="62"/>
        <v>0.5000028610174923</v>
      </c>
      <c r="H314" s="14">
        <v>243016</v>
      </c>
      <c r="I314" s="15">
        <f t="shared" si="63"/>
        <v>122334.09999999999</v>
      </c>
      <c r="J314" s="15">
        <f t="shared" si="64"/>
        <v>194412.80000000002</v>
      </c>
      <c r="K314" s="85">
        <f t="shared" si="65"/>
        <v>122334</v>
      </c>
      <c r="L314" s="79">
        <v>87381.5</v>
      </c>
      <c r="M314" s="86">
        <f>ROUND(VLOOKUP(B314,גיליון1!A285:B1255,2,0),0)</f>
        <v>243017</v>
      </c>
      <c r="N314" s="108"/>
    </row>
    <row r="315" spans="1:14" ht="15.75">
      <c r="A315">
        <v>311</v>
      </c>
      <c r="B315" s="12">
        <v>580357358</v>
      </c>
      <c r="C315" s="13" t="s">
        <v>358</v>
      </c>
      <c r="D315" s="17" t="s">
        <v>59</v>
      </c>
      <c r="E315" s="6">
        <v>651325.25</v>
      </c>
      <c r="F315" s="6">
        <v>454072</v>
      </c>
      <c r="G315" s="7">
        <f t="shared" si="62"/>
        <v>0.6971509242118281</v>
      </c>
      <c r="H315" s="14">
        <v>567590</v>
      </c>
      <c r="I315" s="15">
        <f t="shared" si="63"/>
        <v>455927.675</v>
      </c>
      <c r="J315" s="15">
        <f t="shared" si="64"/>
        <v>454072</v>
      </c>
      <c r="K315" s="85">
        <f t="shared" si="65"/>
        <v>454072</v>
      </c>
      <c r="L315" s="79">
        <v>454072</v>
      </c>
      <c r="M315" s="86">
        <f>ROUND(VLOOKUP(B315,גיליון1!A286:B1256,2,0),0)</f>
        <v>567585</v>
      </c>
      <c r="N315" s="108"/>
    </row>
    <row r="316" spans="1:14" ht="15">
      <c r="A316" s="3">
        <v>312</v>
      </c>
      <c r="B316" s="41">
        <v>580358588</v>
      </c>
      <c r="C316" s="42" t="s">
        <v>359</v>
      </c>
      <c r="D316" s="42" t="s">
        <v>68</v>
      </c>
      <c r="E316" s="6">
        <v>32560</v>
      </c>
      <c r="F316" s="6">
        <v>16280</v>
      </c>
      <c r="G316" s="7">
        <f t="shared" si="62"/>
        <v>0.5</v>
      </c>
      <c r="H316" s="14">
        <v>23042</v>
      </c>
      <c r="I316" s="15">
        <f t="shared" si="63"/>
        <v>22792</v>
      </c>
      <c r="J316" s="15">
        <f t="shared" si="64"/>
        <v>18433.600000000002</v>
      </c>
      <c r="K316" s="85">
        <f t="shared" si="65"/>
        <v>18434</v>
      </c>
      <c r="L316" s="79">
        <v>16280</v>
      </c>
      <c r="M316" s="86">
        <f>ROUND(VLOOKUP(B316,גיליון1!A287:B1257,2,0),0)</f>
        <v>23042</v>
      </c>
      <c r="N316" s="108"/>
    </row>
    <row r="317" spans="1:14" ht="15.75">
      <c r="A317">
        <v>313</v>
      </c>
      <c r="B317" s="12">
        <v>580359826</v>
      </c>
      <c r="C317" s="13" t="s">
        <v>156</v>
      </c>
      <c r="D317" s="13" t="s">
        <v>56</v>
      </c>
      <c r="E317" s="6">
        <v>49319.25</v>
      </c>
      <c r="F317" s="6">
        <v>34523</v>
      </c>
      <c r="G317" s="7">
        <f t="shared" si="62"/>
        <v>0.6999903688721949</v>
      </c>
      <c r="H317" s="14">
        <v>73171</v>
      </c>
      <c r="I317" s="15">
        <f t="shared" si="63"/>
        <v>34523.475</v>
      </c>
      <c r="J317" s="15">
        <f t="shared" si="64"/>
        <v>58536.8</v>
      </c>
      <c r="K317" s="85">
        <f t="shared" si="65"/>
        <v>34523</v>
      </c>
      <c r="L317" s="79">
        <v>34523.475</v>
      </c>
      <c r="M317" s="86">
        <f>ROUND(VLOOKUP(B317,גיליון1!A288:B1258,2,0),0)</f>
        <v>73171</v>
      </c>
      <c r="N317" s="108"/>
    </row>
    <row r="318" spans="1:14" ht="15">
      <c r="A318" s="3">
        <v>314</v>
      </c>
      <c r="B318" s="44">
        <v>580360360</v>
      </c>
      <c r="C318" s="42" t="s">
        <v>590</v>
      </c>
      <c r="D318" s="42" t="s">
        <v>68</v>
      </c>
      <c r="E318" s="6">
        <v>6625</v>
      </c>
      <c r="F318" s="6">
        <v>2650</v>
      </c>
      <c r="G318" s="7">
        <f t="shared" si="62"/>
        <v>0.4</v>
      </c>
      <c r="H318" s="14">
        <v>6416</v>
      </c>
      <c r="I318" s="15">
        <f t="shared" si="63"/>
        <v>4637.5</v>
      </c>
      <c r="J318" s="15">
        <f t="shared" si="64"/>
        <v>5132.8</v>
      </c>
      <c r="K318" s="85">
        <f t="shared" si="65"/>
        <v>4638</v>
      </c>
      <c r="L318" s="79">
        <v>2650</v>
      </c>
      <c r="M318" s="86">
        <f>ROUND(VLOOKUP(B318,גיליון1!A289:B1259,2,0),0)</f>
        <v>6416</v>
      </c>
      <c r="N318" s="108"/>
    </row>
    <row r="319" spans="1:14" ht="15.75">
      <c r="A319">
        <v>315</v>
      </c>
      <c r="B319" s="12">
        <v>580360568</v>
      </c>
      <c r="C319" s="13" t="s">
        <v>691</v>
      </c>
      <c r="D319" s="17" t="s">
        <v>59</v>
      </c>
      <c r="E319" s="6">
        <v>158853.75</v>
      </c>
      <c r="F319" s="6">
        <v>79427</v>
      </c>
      <c r="G319" s="7">
        <f t="shared" si="62"/>
        <v>0.5000007868873099</v>
      </c>
      <c r="H319" s="14">
        <v>139399</v>
      </c>
      <c r="I319" s="15">
        <f t="shared" si="63"/>
        <v>111197.625</v>
      </c>
      <c r="J319" s="15">
        <f t="shared" si="64"/>
        <v>111519.20000000001</v>
      </c>
      <c r="K319" s="85">
        <f t="shared" si="65"/>
        <v>111198</v>
      </c>
      <c r="L319" s="79">
        <v>79426.875</v>
      </c>
      <c r="M319" s="86">
        <f>ROUND(VLOOKUP(B319,גיליון1!A290:B1260,2,0),0)</f>
        <v>139399</v>
      </c>
      <c r="N319" s="108"/>
    </row>
    <row r="320" spans="1:14" ht="15.75">
      <c r="A320" s="3">
        <v>316</v>
      </c>
      <c r="B320" s="12">
        <v>580360584</v>
      </c>
      <c r="C320" s="13" t="s">
        <v>360</v>
      </c>
      <c r="D320" s="17" t="s">
        <v>59</v>
      </c>
      <c r="E320" s="6">
        <v>120778</v>
      </c>
      <c r="F320" s="6">
        <v>84545</v>
      </c>
      <c r="G320" s="7">
        <f t="shared" si="62"/>
        <v>0.7000033118614317</v>
      </c>
      <c r="H320" s="14">
        <v>161738</v>
      </c>
      <c r="I320" s="15">
        <f t="shared" si="63"/>
        <v>84544.59999999999</v>
      </c>
      <c r="J320" s="15">
        <f t="shared" si="64"/>
        <v>129390.40000000001</v>
      </c>
      <c r="K320" s="85">
        <f t="shared" si="65"/>
        <v>0</v>
      </c>
      <c r="L320" s="79">
        <v>84544.59999999999</v>
      </c>
      <c r="M320" s="86">
        <f>ROUND(VLOOKUP(B320,גיליון1!A291:B1261,2,0),0)</f>
        <v>161737</v>
      </c>
      <c r="N320" s="108"/>
    </row>
    <row r="321" spans="1:14" ht="15.75">
      <c r="A321">
        <v>317</v>
      </c>
      <c r="B321" s="37">
        <v>580361178</v>
      </c>
      <c r="C321" s="12" t="s">
        <v>629</v>
      </c>
      <c r="D321" s="13" t="s">
        <v>56</v>
      </c>
      <c r="E321" s="6">
        <v>6220</v>
      </c>
      <c r="F321" s="6">
        <v>3278.4</v>
      </c>
      <c r="G321" s="7">
        <f t="shared" si="62"/>
        <v>0.5270739549839228</v>
      </c>
      <c r="H321" s="14">
        <v>4098</v>
      </c>
      <c r="I321" s="15">
        <f t="shared" si="63"/>
        <v>4354</v>
      </c>
      <c r="J321" s="15">
        <f t="shared" si="64"/>
        <v>3278.4</v>
      </c>
      <c r="K321" s="85">
        <f t="shared" si="65"/>
        <v>3278</v>
      </c>
      <c r="L321" s="79">
        <v>3278.4</v>
      </c>
      <c r="M321" s="86">
        <f>ROUND(VLOOKUP(B321,גיליון1!A292:B1262,2,0),0)</f>
        <v>4098</v>
      </c>
      <c r="N321" s="108"/>
    </row>
    <row r="322" spans="1:14" ht="15.75">
      <c r="A322" s="3">
        <v>318</v>
      </c>
      <c r="B322" s="12">
        <v>580361350</v>
      </c>
      <c r="C322" s="12" t="s">
        <v>630</v>
      </c>
      <c r="D322" s="13" t="s">
        <v>90</v>
      </c>
      <c r="E322" s="6">
        <v>111220.5</v>
      </c>
      <c r="F322" s="6">
        <v>55610</v>
      </c>
      <c r="G322" s="7">
        <f t="shared" si="62"/>
        <v>0.49999775221294634</v>
      </c>
      <c r="H322" s="14">
        <v>131628</v>
      </c>
      <c r="I322" s="15">
        <f t="shared" si="63"/>
        <v>77854.34999999999</v>
      </c>
      <c r="J322" s="15">
        <f t="shared" si="64"/>
        <v>105302.40000000001</v>
      </c>
      <c r="K322" s="85">
        <f t="shared" si="65"/>
        <v>77854</v>
      </c>
      <c r="L322" s="79">
        <v>55610.25</v>
      </c>
      <c r="M322" s="86">
        <f>ROUND(VLOOKUP(B322,גיליון1!A293:B1263,2,0),0)</f>
        <v>131625</v>
      </c>
      <c r="N322" s="108"/>
    </row>
    <row r="323" spans="1:14" ht="15.75">
      <c r="A323">
        <v>319</v>
      </c>
      <c r="B323" s="12">
        <v>580361897</v>
      </c>
      <c r="C323" s="13" t="s">
        <v>361</v>
      </c>
      <c r="D323" s="17" t="s">
        <v>59</v>
      </c>
      <c r="E323" s="6">
        <v>16077.75</v>
      </c>
      <c r="F323" s="6">
        <v>11254</v>
      </c>
      <c r="G323" s="7">
        <f t="shared" si="62"/>
        <v>0.6999735659529474</v>
      </c>
      <c r="H323" s="14">
        <v>28927</v>
      </c>
      <c r="I323" s="15">
        <f t="shared" si="63"/>
        <v>11254.425</v>
      </c>
      <c r="J323" s="15">
        <f t="shared" si="64"/>
        <v>23141.600000000002</v>
      </c>
      <c r="K323" s="85">
        <f t="shared" si="65"/>
        <v>11254</v>
      </c>
      <c r="L323" s="79">
        <v>11254.425</v>
      </c>
      <c r="M323" s="86">
        <f>ROUND(VLOOKUP(B323,גיליון1!A294:B1264,2,0),0)</f>
        <v>28927</v>
      </c>
      <c r="N323" s="108"/>
    </row>
    <row r="324" spans="1:14" ht="15.75">
      <c r="A324" s="3">
        <v>320</v>
      </c>
      <c r="B324" s="12">
        <v>580364156</v>
      </c>
      <c r="C324" s="13" t="s">
        <v>272</v>
      </c>
      <c r="D324" s="13" t="s">
        <v>68</v>
      </c>
      <c r="E324" s="6">
        <v>18868.63523576079</v>
      </c>
      <c r="F324" s="6">
        <v>9434</v>
      </c>
      <c r="G324" s="7">
        <f t="shared" si="62"/>
        <v>0.49998316688640027</v>
      </c>
      <c r="H324" s="14">
        <v>6500</v>
      </c>
      <c r="I324" s="15">
        <f t="shared" si="63"/>
        <v>13208.044665032552</v>
      </c>
      <c r="J324" s="15">
        <f t="shared" si="64"/>
        <v>5200</v>
      </c>
      <c r="K324" s="85">
        <f t="shared" si="65"/>
        <v>0</v>
      </c>
      <c r="L324" s="79">
        <v>8585.022332516277</v>
      </c>
      <c r="M324" s="86">
        <f>ROUND(VLOOKUP(B324,גיליון1!A295:B1265,2,0),0)</f>
        <v>6500</v>
      </c>
      <c r="N324" s="108"/>
    </row>
    <row r="325" spans="1:14" ht="15.75">
      <c r="A325">
        <v>321</v>
      </c>
      <c r="B325" s="12">
        <v>580364297</v>
      </c>
      <c r="C325" s="77" t="s">
        <v>720</v>
      </c>
      <c r="D325" s="4" t="s">
        <v>70</v>
      </c>
      <c r="E325" s="6">
        <v>16748</v>
      </c>
      <c r="F325" s="6">
        <v>10565.664</v>
      </c>
      <c r="G325" s="7">
        <f t="shared" si="62"/>
        <v>0.6308612371626463</v>
      </c>
      <c r="H325" s="14">
        <v>13207</v>
      </c>
      <c r="I325" s="15">
        <f t="shared" si="63"/>
        <v>11723.599999999999</v>
      </c>
      <c r="J325" s="15">
        <f t="shared" si="64"/>
        <v>10565.6</v>
      </c>
      <c r="K325" s="85">
        <f t="shared" si="65"/>
        <v>0</v>
      </c>
      <c r="L325" s="79">
        <v>10565.664</v>
      </c>
      <c r="M325" s="86">
        <f>ROUND(VLOOKUP(B325,גיליון1!A296:B1266,2,0),0)</f>
        <v>13207</v>
      </c>
      <c r="N325" s="108"/>
    </row>
    <row r="326" spans="1:14" ht="15.75">
      <c r="A326" s="3">
        <v>322</v>
      </c>
      <c r="B326" s="12">
        <v>580364727</v>
      </c>
      <c r="C326" s="13" t="s">
        <v>157</v>
      </c>
      <c r="D326" s="17" t="s">
        <v>59</v>
      </c>
      <c r="E326" s="6">
        <v>513640</v>
      </c>
      <c r="F326" s="6">
        <v>329534</v>
      </c>
      <c r="G326" s="7">
        <f t="shared" si="62"/>
        <v>0.6415660774083015</v>
      </c>
      <c r="H326" s="14">
        <v>411917</v>
      </c>
      <c r="I326" s="15">
        <f t="shared" si="63"/>
        <v>359548</v>
      </c>
      <c r="J326" s="15">
        <f t="shared" si="64"/>
        <v>329533.60000000003</v>
      </c>
      <c r="K326" s="85">
        <f t="shared" si="65"/>
        <v>0</v>
      </c>
      <c r="L326" s="79">
        <v>329533.976</v>
      </c>
      <c r="M326" s="86">
        <f>ROUND(VLOOKUP(B326,גיליון1!A297:B1267,2,0),0)</f>
        <v>411918</v>
      </c>
      <c r="N326" s="108"/>
    </row>
    <row r="327" spans="1:14" ht="15.75">
      <c r="A327">
        <v>323</v>
      </c>
      <c r="B327" s="12">
        <v>580364875</v>
      </c>
      <c r="C327" s="13" t="s">
        <v>362</v>
      </c>
      <c r="D327" s="17" t="s">
        <v>59</v>
      </c>
      <c r="E327" s="6">
        <v>121415.25</v>
      </c>
      <c r="F327" s="6">
        <v>84991</v>
      </c>
      <c r="G327" s="7">
        <f t="shared" si="62"/>
        <v>0.700002676764245</v>
      </c>
      <c r="H327" s="14">
        <v>134604</v>
      </c>
      <c r="I327" s="15">
        <f t="shared" si="63"/>
        <v>84990.67499999999</v>
      </c>
      <c r="J327" s="15">
        <f t="shared" si="64"/>
        <v>107683.20000000001</v>
      </c>
      <c r="K327" s="85">
        <f t="shared" si="65"/>
        <v>0</v>
      </c>
      <c r="L327" s="79">
        <v>84990.67499999999</v>
      </c>
      <c r="M327" s="86">
        <f>ROUND(VLOOKUP(B327,גיליון1!A298:B1268,2,0),0)</f>
        <v>134603</v>
      </c>
      <c r="N327" s="108"/>
    </row>
    <row r="328" spans="1:14" ht="15.75">
      <c r="A328" s="3">
        <v>324</v>
      </c>
      <c r="B328" s="12">
        <v>580364958</v>
      </c>
      <c r="C328" s="13" t="s">
        <v>591</v>
      </c>
      <c r="D328" s="17" t="s">
        <v>59</v>
      </c>
      <c r="E328" s="6">
        <v>117378.5</v>
      </c>
      <c r="F328" s="6">
        <v>58689</v>
      </c>
      <c r="G328" s="7">
        <f t="shared" si="62"/>
        <v>0.49999787013805763</v>
      </c>
      <c r="H328" s="14">
        <v>108463</v>
      </c>
      <c r="I328" s="15">
        <f t="shared" si="63"/>
        <v>82164.95</v>
      </c>
      <c r="J328" s="15">
        <f t="shared" si="64"/>
        <v>86770.40000000001</v>
      </c>
      <c r="K328" s="85">
        <f t="shared" si="65"/>
        <v>82165</v>
      </c>
      <c r="L328" s="79">
        <v>58689.25</v>
      </c>
      <c r="M328" s="86">
        <f>ROUND(VLOOKUP(B328,גיליון1!A299:B1269,2,0),0)</f>
        <v>108463</v>
      </c>
      <c r="N328" s="108"/>
    </row>
    <row r="329" spans="1:14" ht="15.75">
      <c r="A329">
        <v>325</v>
      </c>
      <c r="B329" s="12">
        <v>580364966</v>
      </c>
      <c r="C329" s="13" t="s">
        <v>158</v>
      </c>
      <c r="D329" s="17" t="s">
        <v>59</v>
      </c>
      <c r="E329" s="6">
        <v>9278.25</v>
      </c>
      <c r="F329" s="6">
        <v>3711</v>
      </c>
      <c r="G329" s="7">
        <f t="shared" si="62"/>
        <v>0.3999676663163851</v>
      </c>
      <c r="H329" s="14">
        <v>12226</v>
      </c>
      <c r="I329" s="15">
        <f t="shared" si="63"/>
        <v>6494.775</v>
      </c>
      <c r="J329" s="15">
        <f t="shared" si="64"/>
        <v>9780.800000000001</v>
      </c>
      <c r="K329" s="85">
        <f t="shared" si="65"/>
        <v>6495</v>
      </c>
      <c r="L329" s="79">
        <v>3711.3</v>
      </c>
      <c r="M329" s="86">
        <f>ROUND(VLOOKUP(B329,גיליון1!A300:B1270,2,0),0)</f>
        <v>12226</v>
      </c>
      <c r="N329" s="108"/>
    </row>
    <row r="330" spans="1:14" ht="15">
      <c r="A330" s="3">
        <v>326</v>
      </c>
      <c r="B330" s="4">
        <v>580364982</v>
      </c>
      <c r="C330" s="4" t="s">
        <v>692</v>
      </c>
      <c r="D330" s="4" t="s">
        <v>90</v>
      </c>
      <c r="E330" s="6">
        <v>46527</v>
      </c>
      <c r="F330" s="6">
        <v>17484</v>
      </c>
      <c r="G330" s="7">
        <f t="shared" si="62"/>
        <v>0.3757818041137404</v>
      </c>
      <c r="H330" s="14">
        <v>17484</v>
      </c>
      <c r="I330" s="15">
        <f t="shared" si="63"/>
        <v>32568.899999999998</v>
      </c>
      <c r="J330" s="15">
        <f t="shared" si="64"/>
        <v>13987.2</v>
      </c>
      <c r="K330" s="85">
        <f t="shared" si="65"/>
        <v>0</v>
      </c>
      <c r="L330" s="79">
        <v>18610.8</v>
      </c>
      <c r="M330" s="86">
        <f>ROUND(VLOOKUP(B330,גיליון1!A301:B1271,2,0),0)</f>
        <v>17483</v>
      </c>
      <c r="N330" s="108"/>
    </row>
    <row r="331" spans="1:14" ht="15.75">
      <c r="A331">
        <v>327</v>
      </c>
      <c r="B331" s="12">
        <v>580366946</v>
      </c>
      <c r="C331" s="13" t="s">
        <v>363</v>
      </c>
      <c r="D331" s="17" t="s">
        <v>59</v>
      </c>
      <c r="E331" s="6">
        <v>112853.25</v>
      </c>
      <c r="F331" s="6">
        <v>56427</v>
      </c>
      <c r="G331" s="7">
        <f t="shared" si="62"/>
        <v>0.5000033228994292</v>
      </c>
      <c r="H331" s="14">
        <v>74666</v>
      </c>
      <c r="I331" s="15">
        <f t="shared" si="63"/>
        <v>78997.275</v>
      </c>
      <c r="J331" s="15">
        <f t="shared" si="64"/>
        <v>59732.8</v>
      </c>
      <c r="K331" s="85">
        <f t="shared" si="65"/>
        <v>59733</v>
      </c>
      <c r="L331" s="79">
        <v>56426.625</v>
      </c>
      <c r="M331" s="86">
        <f>ROUND(VLOOKUP(B331,גיליון1!A302:B1272,2,0),0)</f>
        <v>74665</v>
      </c>
      <c r="N331" s="108"/>
    </row>
    <row r="332" spans="1:14" ht="15">
      <c r="A332" s="3">
        <v>328</v>
      </c>
      <c r="B332" s="22">
        <v>580367142</v>
      </c>
      <c r="C332" s="43" t="s">
        <v>364</v>
      </c>
      <c r="D332" s="42" t="s">
        <v>68</v>
      </c>
      <c r="E332" s="6">
        <v>12486.5</v>
      </c>
      <c r="F332" s="6">
        <v>8741</v>
      </c>
      <c r="G332" s="7">
        <f t="shared" si="62"/>
        <v>0.7000360389220358</v>
      </c>
      <c r="H332" s="14">
        <v>17424</v>
      </c>
      <c r="I332" s="15">
        <f t="shared" si="63"/>
        <v>8740.55</v>
      </c>
      <c r="J332" s="15">
        <f t="shared" si="64"/>
        <v>13939.2</v>
      </c>
      <c r="K332" s="85">
        <f t="shared" si="65"/>
        <v>0</v>
      </c>
      <c r="L332" s="79">
        <v>8740.55</v>
      </c>
      <c r="M332" s="86">
        <f>ROUND(VLOOKUP(B332,גיליון1!A303:B1273,2,0),0)</f>
        <v>17424</v>
      </c>
      <c r="N332" s="108"/>
    </row>
    <row r="333" spans="1:14" ht="15">
      <c r="A333">
        <v>329</v>
      </c>
      <c r="B333" s="31">
        <v>580368009</v>
      </c>
      <c r="C333" s="4" t="s">
        <v>159</v>
      </c>
      <c r="D333" s="4" t="s">
        <v>68</v>
      </c>
      <c r="E333" s="6">
        <v>5446.5</v>
      </c>
      <c r="F333" s="6">
        <v>3813</v>
      </c>
      <c r="G333" s="7">
        <f t="shared" si="62"/>
        <v>0.7000826218672542</v>
      </c>
      <c r="H333" s="14">
        <v>5535</v>
      </c>
      <c r="I333" s="15">
        <f t="shared" si="63"/>
        <v>3812.5499999999997</v>
      </c>
      <c r="J333" s="15">
        <f t="shared" si="64"/>
        <v>4428</v>
      </c>
      <c r="K333" s="85">
        <f t="shared" si="65"/>
        <v>0</v>
      </c>
      <c r="L333" s="79">
        <v>3812.5499999999997</v>
      </c>
      <c r="M333" s="86">
        <f>ROUND(VLOOKUP(B333,גיליון1!A304:B1274,2,0),0)</f>
        <v>5535</v>
      </c>
      <c r="N333" s="108"/>
    </row>
    <row r="334" spans="1:14" ht="15.75">
      <c r="A334" s="3">
        <v>330</v>
      </c>
      <c r="B334" s="12">
        <v>580368504</v>
      </c>
      <c r="C334" s="13" t="s">
        <v>511</v>
      </c>
      <c r="D334" s="17" t="s">
        <v>59</v>
      </c>
      <c r="E334" s="6">
        <v>2891.25</v>
      </c>
      <c r="F334" s="6">
        <v>2024</v>
      </c>
      <c r="G334" s="7">
        <f t="shared" si="62"/>
        <v>0.7000432338953739</v>
      </c>
      <c r="H334" s="14">
        <v>4775</v>
      </c>
      <c r="I334" s="15">
        <f t="shared" si="63"/>
        <v>2023.8749999999998</v>
      </c>
      <c r="J334" s="15">
        <f t="shared" si="64"/>
        <v>3820</v>
      </c>
      <c r="K334" s="85">
        <f t="shared" si="65"/>
        <v>0</v>
      </c>
      <c r="L334" s="79">
        <v>2023.7499999999998</v>
      </c>
      <c r="M334" s="86">
        <f>ROUND(VLOOKUP(B334,גיליון1!A305:B1275,2,0),0)</f>
        <v>4775</v>
      </c>
      <c r="N334" s="108"/>
    </row>
    <row r="335" spans="1:14" ht="15.75">
      <c r="A335">
        <v>331</v>
      </c>
      <c r="B335" s="12">
        <v>580368546</v>
      </c>
      <c r="C335" s="12" t="s">
        <v>631</v>
      </c>
      <c r="D335" s="13" t="s">
        <v>59</v>
      </c>
      <c r="E335" s="6">
        <v>154788.5</v>
      </c>
      <c r="F335" s="6">
        <v>77394</v>
      </c>
      <c r="G335" s="7">
        <f t="shared" si="62"/>
        <v>0.4999983848929346</v>
      </c>
      <c r="H335" s="14">
        <v>258478</v>
      </c>
      <c r="I335" s="15">
        <f t="shared" si="63"/>
        <v>108351.95</v>
      </c>
      <c r="J335" s="15">
        <f t="shared" si="64"/>
        <v>206782.40000000002</v>
      </c>
      <c r="K335" s="85">
        <f t="shared" si="65"/>
        <v>108352</v>
      </c>
      <c r="L335" s="79">
        <v>77394.25</v>
      </c>
      <c r="M335" s="86">
        <f>ROUND(VLOOKUP(B335,גיליון1!A306:B1276,2,0),0)</f>
        <v>258477</v>
      </c>
      <c r="N335" s="108"/>
    </row>
    <row r="336" spans="1:14" ht="15.75">
      <c r="A336" s="3">
        <v>332</v>
      </c>
      <c r="B336" s="129">
        <v>580369015</v>
      </c>
      <c r="C336" s="130" t="s">
        <v>951</v>
      </c>
      <c r="D336" s="13"/>
      <c r="E336" s="116"/>
      <c r="F336" s="116"/>
      <c r="G336" s="117"/>
      <c r="H336" s="118">
        <v>17580</v>
      </c>
      <c r="I336" s="15"/>
      <c r="J336" s="15"/>
      <c r="K336" s="110"/>
      <c r="L336" s="79"/>
      <c r="M336" s="86"/>
      <c r="N336" s="108"/>
    </row>
    <row r="337" spans="1:14" ht="15.75">
      <c r="A337">
        <v>333</v>
      </c>
      <c r="B337" s="12">
        <v>580370203</v>
      </c>
      <c r="C337" s="13" t="s">
        <v>365</v>
      </c>
      <c r="D337" s="17" t="s">
        <v>59</v>
      </c>
      <c r="E337" s="6">
        <v>163479.75</v>
      </c>
      <c r="F337" s="6">
        <v>81740</v>
      </c>
      <c r="G337" s="7">
        <f>F337/E337</f>
        <v>0.5000007646206946</v>
      </c>
      <c r="H337" s="14">
        <v>199224</v>
      </c>
      <c r="I337" s="15">
        <f>E337*$I$2</f>
        <v>114435.825</v>
      </c>
      <c r="J337" s="15">
        <f>H337*$J$2</f>
        <v>159379.2</v>
      </c>
      <c r="K337" s="85">
        <f>ROUND(IF(IF(MIN(I337,J337)&lt;F337,MIN(I337,J337)-F337,MIN(I337,J337))&lt;0,0,IF(MIN(I337,J337)&lt;F337,MIN(I337,J337)-F337,MIN(I337,J337))),0)</f>
        <v>114436</v>
      </c>
      <c r="L337" s="79">
        <v>81739.875</v>
      </c>
      <c r="M337" s="86">
        <f>ROUND(VLOOKUP(B337,גיליון1!A307:B1277,2,0),0)</f>
        <v>199219</v>
      </c>
      <c r="N337" s="108"/>
    </row>
    <row r="338" spans="1:14" ht="15.75">
      <c r="A338" s="3">
        <v>334</v>
      </c>
      <c r="B338" s="53">
        <v>580370930</v>
      </c>
      <c r="C338" s="55" t="s">
        <v>658</v>
      </c>
      <c r="D338" s="55" t="s">
        <v>56</v>
      </c>
      <c r="E338" s="6">
        <v>138326.75</v>
      </c>
      <c r="F338" s="6">
        <v>69163</v>
      </c>
      <c r="G338" s="7">
        <f>F338/E338</f>
        <v>0.49999728902761037</v>
      </c>
      <c r="H338" s="14">
        <v>163923</v>
      </c>
      <c r="I338" s="15">
        <f>E338*$I$2</f>
        <v>96828.72499999999</v>
      </c>
      <c r="J338" s="15">
        <f>H338*$J$2</f>
        <v>131138.4</v>
      </c>
      <c r="K338" s="85">
        <f>ROUND(IF(IF(MIN(I338,J338)&lt;F338,MIN(I338,J338)-F338,MIN(I338,J338))&lt;0,0,IF(MIN(I338,J338)&lt;F338,MIN(I338,J338)-F338,MIN(I338,J338))),0)</f>
        <v>96829</v>
      </c>
      <c r="L338" s="79">
        <v>69163.375</v>
      </c>
      <c r="M338" s="86">
        <f>ROUND(VLOOKUP(B338,גיליון1!A308:B1278,2,0),0)</f>
        <v>163921</v>
      </c>
      <c r="N338" s="108"/>
    </row>
    <row r="339" spans="1:14" ht="15">
      <c r="A339">
        <v>335</v>
      </c>
      <c r="B339" s="32">
        <v>580371250</v>
      </c>
      <c r="C339" s="33" t="s">
        <v>160</v>
      </c>
      <c r="D339" s="4" t="s">
        <v>68</v>
      </c>
      <c r="E339" s="6">
        <v>82692.75</v>
      </c>
      <c r="F339" s="6">
        <v>41346</v>
      </c>
      <c r="G339" s="7">
        <f>F339/E339</f>
        <v>0.4999954651405353</v>
      </c>
      <c r="H339" s="14">
        <v>120103</v>
      </c>
      <c r="I339" s="15">
        <f>E339*$I$2</f>
        <v>57884.924999999996</v>
      </c>
      <c r="J339" s="15">
        <f>H339*$J$2</f>
        <v>96082.40000000001</v>
      </c>
      <c r="K339" s="85">
        <f>ROUND(IF(IF(MIN(I339,J339)&lt;F339,MIN(I339,J339)-F339,MIN(I339,J339))&lt;0,0,IF(MIN(I339,J339)&lt;F339,MIN(I339,J339)-F339,MIN(I339,J339))),0)</f>
        <v>57885</v>
      </c>
      <c r="L339" s="79">
        <v>41346.375</v>
      </c>
      <c r="M339" s="86">
        <f>ROUND(VLOOKUP(B339,גיליון1!A309:B1279,2,0),0)</f>
        <v>120104</v>
      </c>
      <c r="N339" s="108"/>
    </row>
    <row r="340" spans="1:14" ht="15">
      <c r="A340" s="3">
        <v>336</v>
      </c>
      <c r="B340" s="18">
        <v>580372035</v>
      </c>
      <c r="C340" s="4" t="s">
        <v>693</v>
      </c>
      <c r="D340" s="4" t="s">
        <v>68</v>
      </c>
      <c r="E340" s="6">
        <v>2396</v>
      </c>
      <c r="F340" s="6">
        <v>958</v>
      </c>
      <c r="G340" s="7">
        <f>F340/E340</f>
        <v>0.3998330550918197</v>
      </c>
      <c r="H340" s="14">
        <v>2706</v>
      </c>
      <c r="I340" s="15">
        <f>E340*$I$2</f>
        <v>1677.1999999999998</v>
      </c>
      <c r="J340" s="15">
        <f>H340*$J$2</f>
        <v>2164.8</v>
      </c>
      <c r="K340" s="85">
        <f>ROUND(IF(IF(MIN(I340,J340)&lt;F340,MIN(I340,J340)-F340,MIN(I340,J340))&lt;0,0,IF(MIN(I340,J340)&lt;F340,MIN(I340,J340)-F340,MIN(I340,J340))),0)</f>
        <v>1677</v>
      </c>
      <c r="L340" s="79">
        <v>958.4000000000001</v>
      </c>
      <c r="M340" s="86">
        <f>ROUND(VLOOKUP(B340,גיליון1!A310:B1280,2,0),0)</f>
        <v>2706</v>
      </c>
      <c r="N340" s="108"/>
    </row>
    <row r="341" spans="1:14" ht="15.75">
      <c r="A341">
        <v>337</v>
      </c>
      <c r="B341" s="12">
        <v>580373215</v>
      </c>
      <c r="C341" s="13" t="s">
        <v>733</v>
      </c>
      <c r="D341" s="13" t="s">
        <v>56</v>
      </c>
      <c r="E341" s="6">
        <v>41741</v>
      </c>
      <c r="F341" s="6">
        <v>20871</v>
      </c>
      <c r="G341" s="7">
        <f>F341/E341</f>
        <v>0.5000119786301238</v>
      </c>
      <c r="H341" s="14">
        <v>56660</v>
      </c>
      <c r="I341" s="15">
        <f>E341*$I$2</f>
        <v>29218.699999999997</v>
      </c>
      <c r="J341" s="15">
        <f>H341*$J$2</f>
        <v>45328</v>
      </c>
      <c r="K341" s="85">
        <f>ROUND(IF(IF(MIN(I341,J341)&lt;F341,MIN(I341,J341)-F341,MIN(I341,J341))&lt;0,0,IF(MIN(I341,J341)&lt;F341,MIN(I341,J341)-F341,MIN(I341,J341))),0)</f>
        <v>29219</v>
      </c>
      <c r="L341" s="79">
        <v>20870.5</v>
      </c>
      <c r="M341" s="86">
        <f>ROUND(VLOOKUP(B341,גיליון1!A311:B1281,2,0),0)</f>
        <v>56660</v>
      </c>
      <c r="N341" s="108"/>
    </row>
    <row r="342" spans="1:14" ht="15.75">
      <c r="A342" s="3">
        <v>338</v>
      </c>
      <c r="B342" s="46">
        <v>580373744</v>
      </c>
      <c r="C342" s="46" t="s">
        <v>1072</v>
      </c>
      <c r="D342" s="13"/>
      <c r="E342" s="116">
        <v>104419</v>
      </c>
      <c r="F342" s="116">
        <v>36581</v>
      </c>
      <c r="G342" s="117"/>
      <c r="H342" s="118">
        <v>73162</v>
      </c>
      <c r="I342" s="15"/>
      <c r="J342" s="15"/>
      <c r="K342" s="110"/>
      <c r="L342" s="79"/>
      <c r="M342" s="86"/>
      <c r="N342" s="108"/>
    </row>
    <row r="343" spans="1:14" ht="15.75">
      <c r="A343">
        <v>339</v>
      </c>
      <c r="B343" s="12">
        <v>580374445</v>
      </c>
      <c r="C343" s="13" t="s">
        <v>273</v>
      </c>
      <c r="D343" s="13" t="s">
        <v>56</v>
      </c>
      <c r="E343" s="6">
        <v>263971.75</v>
      </c>
      <c r="F343" s="6">
        <v>131986</v>
      </c>
      <c r="G343" s="7">
        <f aca="true" t="shared" si="66" ref="G343:G355">F343/E343</f>
        <v>0.5000004735355204</v>
      </c>
      <c r="H343" s="14">
        <v>144223</v>
      </c>
      <c r="I343" s="15">
        <f aca="true" t="shared" si="67" ref="I343:I355">E343*$I$2</f>
        <v>184780.22499999998</v>
      </c>
      <c r="J343" s="15">
        <f aca="true" t="shared" si="68" ref="J343:J355">H343*$J$2</f>
        <v>115378.40000000001</v>
      </c>
      <c r="K343" s="85">
        <f aca="true" t="shared" si="69" ref="K343:K355">ROUND(IF(IF(MIN(I343,J343)&lt;F343,MIN(I343,J343)-F343,MIN(I343,J343))&lt;0,0,IF(MIN(I343,J343)&lt;F343,MIN(I343,J343)-F343,MIN(I343,J343))),0)</f>
        <v>0</v>
      </c>
      <c r="L343" s="79">
        <v>131985.875</v>
      </c>
      <c r="M343" s="86">
        <f>ROUND(VLOOKUP(B343,גיליון1!A312:B1282,2,0),0)</f>
        <v>144223</v>
      </c>
      <c r="N343" s="108"/>
    </row>
    <row r="344" spans="1:14" ht="15.75">
      <c r="A344" s="3">
        <v>340</v>
      </c>
      <c r="B344" s="34">
        <v>580374452</v>
      </c>
      <c r="C344" s="34" t="s">
        <v>161</v>
      </c>
      <c r="D344" s="20" t="s">
        <v>90</v>
      </c>
      <c r="E344" s="6">
        <v>2916.75</v>
      </c>
      <c r="F344" s="6">
        <v>1458</v>
      </c>
      <c r="G344" s="7">
        <f t="shared" si="66"/>
        <v>0.499871432244793</v>
      </c>
      <c r="H344" s="14">
        <v>4081</v>
      </c>
      <c r="I344" s="15">
        <f t="shared" si="67"/>
        <v>2041.725</v>
      </c>
      <c r="J344" s="15">
        <f t="shared" si="68"/>
        <v>3264.8</v>
      </c>
      <c r="K344" s="85">
        <f t="shared" si="69"/>
        <v>2042</v>
      </c>
      <c r="L344" s="79">
        <v>1458.375</v>
      </c>
      <c r="M344" s="86">
        <f>ROUND(VLOOKUP(B344,גיליון1!A313:B1283,2,0),0)</f>
        <v>4081</v>
      </c>
      <c r="N344" s="108"/>
    </row>
    <row r="345" spans="1:14" ht="15.75">
      <c r="A345">
        <v>341</v>
      </c>
      <c r="B345" s="12">
        <v>580375103</v>
      </c>
      <c r="C345" s="13" t="s">
        <v>512</v>
      </c>
      <c r="D345" s="13" t="s">
        <v>56</v>
      </c>
      <c r="E345" s="6">
        <v>15624.75</v>
      </c>
      <c r="F345" s="6">
        <v>10937</v>
      </c>
      <c r="G345" s="7">
        <f t="shared" si="66"/>
        <v>0.6999791996671947</v>
      </c>
      <c r="H345" s="14">
        <v>14439</v>
      </c>
      <c r="I345" s="15">
        <f t="shared" si="67"/>
        <v>10937.324999999999</v>
      </c>
      <c r="J345" s="15">
        <f t="shared" si="68"/>
        <v>11551.2</v>
      </c>
      <c r="K345" s="85">
        <f t="shared" si="69"/>
        <v>10937</v>
      </c>
      <c r="L345" s="79">
        <v>10937.324999999999</v>
      </c>
      <c r="M345" s="86">
        <f>ROUND(VLOOKUP(B345,גיליון1!A314:B1284,2,0),0)</f>
        <v>14439</v>
      </c>
      <c r="N345" s="108"/>
    </row>
    <row r="346" spans="1:14" ht="15.75">
      <c r="A346" s="3">
        <v>342</v>
      </c>
      <c r="B346" s="12">
        <v>580375111</v>
      </c>
      <c r="C346" s="13" t="s">
        <v>562</v>
      </c>
      <c r="D346" s="17" t="s">
        <v>59</v>
      </c>
      <c r="E346" s="6">
        <v>11298</v>
      </c>
      <c r="F346" s="6">
        <v>4519</v>
      </c>
      <c r="G346" s="7">
        <f t="shared" si="66"/>
        <v>0.3999822977518145</v>
      </c>
      <c r="H346" s="14">
        <v>16593</v>
      </c>
      <c r="I346" s="15">
        <f t="shared" si="67"/>
        <v>7908.599999999999</v>
      </c>
      <c r="J346" s="15">
        <f t="shared" si="68"/>
        <v>13274.400000000001</v>
      </c>
      <c r="K346" s="85">
        <f t="shared" si="69"/>
        <v>7909</v>
      </c>
      <c r="L346" s="79">
        <v>4519.2</v>
      </c>
      <c r="M346" s="86">
        <f>ROUND(VLOOKUP(B346,גיליון1!A315:B1285,2,0),0)</f>
        <v>16593</v>
      </c>
      <c r="N346" s="108"/>
    </row>
    <row r="347" spans="1:14" ht="15.75">
      <c r="A347">
        <v>343</v>
      </c>
      <c r="B347" s="12">
        <v>580375681</v>
      </c>
      <c r="C347" s="13" t="s">
        <v>366</v>
      </c>
      <c r="D347" s="13" t="s">
        <v>56</v>
      </c>
      <c r="E347" s="6">
        <v>298760</v>
      </c>
      <c r="F347" s="6">
        <v>149380</v>
      </c>
      <c r="G347" s="7">
        <f t="shared" si="66"/>
        <v>0.5</v>
      </c>
      <c r="H347" s="14">
        <v>305865</v>
      </c>
      <c r="I347" s="15">
        <f t="shared" si="67"/>
        <v>209132</v>
      </c>
      <c r="J347" s="15">
        <f t="shared" si="68"/>
        <v>244692</v>
      </c>
      <c r="K347" s="85">
        <f t="shared" si="69"/>
        <v>209132</v>
      </c>
      <c r="L347" s="79">
        <v>50596.375</v>
      </c>
      <c r="M347" s="86">
        <f>ROUND(VLOOKUP(B347,גיליון1!A316:B1286,2,0),0)</f>
        <v>305860</v>
      </c>
      <c r="N347" s="108"/>
    </row>
    <row r="348" spans="1:14" ht="15.75">
      <c r="A348" s="3">
        <v>344</v>
      </c>
      <c r="B348" s="12">
        <v>580376283</v>
      </c>
      <c r="C348" s="13" t="s">
        <v>162</v>
      </c>
      <c r="D348" s="17" t="s">
        <v>59</v>
      </c>
      <c r="E348" s="6">
        <v>47892.75</v>
      </c>
      <c r="F348" s="6">
        <v>27903</v>
      </c>
      <c r="G348" s="7">
        <f t="shared" si="66"/>
        <v>0.5826142787791472</v>
      </c>
      <c r="H348" s="14">
        <v>34879</v>
      </c>
      <c r="I348" s="15">
        <f t="shared" si="67"/>
        <v>33524.924999999996</v>
      </c>
      <c r="J348" s="15">
        <f t="shared" si="68"/>
        <v>27903.2</v>
      </c>
      <c r="K348" s="85">
        <f t="shared" si="69"/>
        <v>27903</v>
      </c>
      <c r="L348" s="79">
        <v>27903.016</v>
      </c>
      <c r="M348" s="86">
        <f>ROUND(VLOOKUP(B348,גיליון1!A317:B1287,2,0),0)</f>
        <v>34879</v>
      </c>
      <c r="N348" s="108"/>
    </row>
    <row r="349" spans="1:14" ht="15.75">
      <c r="A349">
        <v>345</v>
      </c>
      <c r="B349" s="12">
        <v>580376911</v>
      </c>
      <c r="C349" s="13" t="s">
        <v>274</v>
      </c>
      <c r="D349" s="13" t="s">
        <v>68</v>
      </c>
      <c r="E349" s="6">
        <v>52650</v>
      </c>
      <c r="F349" s="6">
        <v>18142</v>
      </c>
      <c r="G349" s="7">
        <f t="shared" si="66"/>
        <v>0.3445773979107312</v>
      </c>
      <c r="H349" s="14">
        <v>58042</v>
      </c>
      <c r="I349" s="15">
        <f t="shared" si="67"/>
        <v>36855</v>
      </c>
      <c r="J349" s="15">
        <f t="shared" si="68"/>
        <v>46433.600000000006</v>
      </c>
      <c r="K349" s="85">
        <f t="shared" si="69"/>
        <v>36855</v>
      </c>
      <c r="L349" s="79">
        <v>18141.6</v>
      </c>
      <c r="M349" s="86">
        <f>ROUND(VLOOKUP(B349,גיליון1!A318:B1288,2,0),0)</f>
        <v>58042</v>
      </c>
      <c r="N349" s="108"/>
    </row>
    <row r="350" spans="1:14" ht="15.75">
      <c r="A350" s="3">
        <v>346</v>
      </c>
      <c r="B350" s="12">
        <v>580377059</v>
      </c>
      <c r="C350" s="13" t="s">
        <v>367</v>
      </c>
      <c r="D350" s="17" t="s">
        <v>59</v>
      </c>
      <c r="E350" s="6">
        <f>492645+83514</f>
        <v>576159</v>
      </c>
      <c r="F350" s="6">
        <v>333632</v>
      </c>
      <c r="G350" s="7">
        <f t="shared" si="66"/>
        <v>0.5790623768786047</v>
      </c>
      <c r="H350" s="14">
        <f>417040+34672</f>
        <v>451712</v>
      </c>
      <c r="I350" s="15">
        <f t="shared" si="67"/>
        <v>403311.3</v>
      </c>
      <c r="J350" s="15">
        <f t="shared" si="68"/>
        <v>361369.60000000003</v>
      </c>
      <c r="K350" s="85">
        <f t="shared" si="69"/>
        <v>361370</v>
      </c>
      <c r="L350" s="79">
        <v>333632</v>
      </c>
      <c r="M350" s="86">
        <f>ROUND(VLOOKUP(B350,גיליון1!A319:B1289,2,0),0)</f>
        <v>417034</v>
      </c>
      <c r="N350" s="108"/>
    </row>
    <row r="351" spans="1:14" ht="15.75">
      <c r="A351">
        <v>347</v>
      </c>
      <c r="B351" s="12">
        <v>580377794</v>
      </c>
      <c r="C351" s="13" t="s">
        <v>163</v>
      </c>
      <c r="D351" s="13" t="s">
        <v>56</v>
      </c>
      <c r="E351" s="6">
        <v>207882.75</v>
      </c>
      <c r="F351" s="6">
        <v>145518</v>
      </c>
      <c r="G351" s="7">
        <f t="shared" si="66"/>
        <v>0.7000003607802956</v>
      </c>
      <c r="H351" s="14">
        <v>213697</v>
      </c>
      <c r="I351" s="15">
        <f t="shared" si="67"/>
        <v>145517.925</v>
      </c>
      <c r="J351" s="15">
        <f t="shared" si="68"/>
        <v>170957.6</v>
      </c>
      <c r="K351" s="85">
        <f t="shared" si="69"/>
        <v>0</v>
      </c>
      <c r="L351" s="79">
        <v>145517.925</v>
      </c>
      <c r="M351" s="86">
        <f>ROUND(VLOOKUP(B351,גיליון1!A320:B1290,2,0),0)</f>
        <v>213696</v>
      </c>
      <c r="N351" s="108"/>
    </row>
    <row r="352" spans="1:14" ht="15.75">
      <c r="A352" s="3">
        <v>348</v>
      </c>
      <c r="B352" s="60">
        <v>580378024</v>
      </c>
      <c r="C352" s="13" t="s">
        <v>751</v>
      </c>
      <c r="D352" s="13" t="s">
        <v>68</v>
      </c>
      <c r="E352" s="6">
        <v>23464.75</v>
      </c>
      <c r="F352" s="6">
        <v>11732</v>
      </c>
      <c r="G352" s="7">
        <f t="shared" si="66"/>
        <v>0.49998401858106306</v>
      </c>
      <c r="H352" s="14">
        <v>17588</v>
      </c>
      <c r="I352" s="15">
        <f t="shared" si="67"/>
        <v>16425.325</v>
      </c>
      <c r="J352" s="15">
        <f t="shared" si="68"/>
        <v>14070.400000000001</v>
      </c>
      <c r="K352" s="85">
        <f t="shared" si="69"/>
        <v>14070</v>
      </c>
      <c r="L352" s="79">
        <v>11732.375</v>
      </c>
      <c r="M352" s="86">
        <f>ROUND(VLOOKUP(B352,גיליון1!A321:B1291,2,0),0)</f>
        <v>17588</v>
      </c>
      <c r="N352" s="108"/>
    </row>
    <row r="353" spans="1:14" ht="15.75">
      <c r="A353">
        <v>349</v>
      </c>
      <c r="B353" s="13">
        <v>580378610</v>
      </c>
      <c r="C353" s="13" t="s">
        <v>513</v>
      </c>
      <c r="D353" s="13" t="s">
        <v>70</v>
      </c>
      <c r="E353" s="6">
        <v>57361.25</v>
      </c>
      <c r="F353" s="6">
        <v>40152.875</v>
      </c>
      <c r="G353" s="7">
        <f t="shared" si="66"/>
        <v>0.7</v>
      </c>
      <c r="H353" s="14">
        <v>100447</v>
      </c>
      <c r="I353" s="15">
        <f t="shared" si="67"/>
        <v>40152.875</v>
      </c>
      <c r="J353" s="15">
        <f t="shared" si="68"/>
        <v>80357.6</v>
      </c>
      <c r="K353" s="85">
        <f t="shared" si="69"/>
        <v>40153</v>
      </c>
      <c r="L353" s="79">
        <v>40152.875</v>
      </c>
      <c r="M353" s="86">
        <f>ROUND(VLOOKUP(B353,גיליון1!A322:B1292,2,0),0)</f>
        <v>100445</v>
      </c>
      <c r="N353" s="108"/>
    </row>
    <row r="354" spans="1:14" ht="15.75">
      <c r="A354" s="3">
        <v>350</v>
      </c>
      <c r="B354" s="12">
        <v>580379261</v>
      </c>
      <c r="C354" s="13" t="s">
        <v>275</v>
      </c>
      <c r="D354" s="13" t="s">
        <v>56</v>
      </c>
      <c r="E354" s="6">
        <v>33175.25</v>
      </c>
      <c r="F354" s="6">
        <v>15526</v>
      </c>
      <c r="G354" s="7">
        <f t="shared" si="66"/>
        <v>0.46799948756979975</v>
      </c>
      <c r="H354" s="14">
        <v>15527</v>
      </c>
      <c r="I354" s="15">
        <f t="shared" si="67"/>
        <v>23222.675</v>
      </c>
      <c r="J354" s="15">
        <f t="shared" si="68"/>
        <v>12421.6</v>
      </c>
      <c r="K354" s="85">
        <f t="shared" si="69"/>
        <v>0</v>
      </c>
      <c r="L354" s="79">
        <v>16587.625</v>
      </c>
      <c r="M354" s="86">
        <f>ROUND(VLOOKUP(B354,גיליון1!A323:B1293,2,0),0)</f>
        <v>15527</v>
      </c>
      <c r="N354" s="108"/>
    </row>
    <row r="355" spans="1:14" ht="15">
      <c r="A355">
        <v>351</v>
      </c>
      <c r="B355" s="41">
        <v>580379352</v>
      </c>
      <c r="C355" s="42" t="s">
        <v>514</v>
      </c>
      <c r="D355" s="42" t="s">
        <v>68</v>
      </c>
      <c r="E355" s="6">
        <v>5504.75</v>
      </c>
      <c r="F355" s="6">
        <v>2752</v>
      </c>
      <c r="G355" s="7">
        <f t="shared" si="66"/>
        <v>0.49993187701530495</v>
      </c>
      <c r="H355" s="14">
        <v>4347</v>
      </c>
      <c r="I355" s="15">
        <f t="shared" si="67"/>
        <v>3853.325</v>
      </c>
      <c r="J355" s="15">
        <f t="shared" si="68"/>
        <v>3477.6000000000004</v>
      </c>
      <c r="K355" s="85">
        <f t="shared" si="69"/>
        <v>3478</v>
      </c>
      <c r="L355" s="79">
        <v>2752.375</v>
      </c>
      <c r="M355" s="86">
        <f>ROUND(VLOOKUP(B355,גיליון1!A324:B1294,2,0),0)</f>
        <v>4347</v>
      </c>
      <c r="N355" s="108"/>
    </row>
    <row r="356" spans="1:14" ht="15.75">
      <c r="A356" s="3">
        <v>352</v>
      </c>
      <c r="B356" s="125">
        <v>580379485</v>
      </c>
      <c r="C356" s="124" t="s">
        <v>1073</v>
      </c>
      <c r="D356" s="13"/>
      <c r="E356" s="116">
        <v>15483</v>
      </c>
      <c r="F356" s="116">
        <v>10838</v>
      </c>
      <c r="G356" s="117"/>
      <c r="H356" s="118">
        <v>18232</v>
      </c>
      <c r="I356" s="15"/>
      <c r="J356" s="15"/>
      <c r="K356" s="110"/>
      <c r="L356" s="79"/>
      <c r="M356" s="86"/>
      <c r="N356" s="108"/>
    </row>
    <row r="357" spans="1:14" ht="15">
      <c r="A357">
        <v>353</v>
      </c>
      <c r="B357" s="18">
        <v>580380244</v>
      </c>
      <c r="C357" s="4" t="s">
        <v>164</v>
      </c>
      <c r="D357" s="4" t="s">
        <v>68</v>
      </c>
      <c r="E357" s="6">
        <v>75054.5</v>
      </c>
      <c r="F357" s="6">
        <v>52538</v>
      </c>
      <c r="G357" s="7">
        <f>F357/E357</f>
        <v>0.699998001452278</v>
      </c>
      <c r="H357" s="14">
        <v>109929</v>
      </c>
      <c r="I357" s="15">
        <f>E357*$I$2</f>
        <v>52538.149999999994</v>
      </c>
      <c r="J357" s="15">
        <f>H357*$J$2</f>
        <v>87943.20000000001</v>
      </c>
      <c r="K357" s="85">
        <f>ROUND(IF(IF(MIN(I357,J357)&lt;F357,MIN(I357,J357)-F357,MIN(I357,J357))&lt;0,0,IF(MIN(I357,J357)&lt;F357,MIN(I357,J357)-F357,MIN(I357,J357))),0)</f>
        <v>52538</v>
      </c>
      <c r="L357" s="79">
        <v>52538.149999999994</v>
      </c>
      <c r="M357" s="86">
        <f>ROUND(VLOOKUP(B357,גיליון1!A325:B1295,2,0),0)</f>
        <v>109929</v>
      </c>
      <c r="N357" s="108"/>
    </row>
    <row r="358" spans="1:14" ht="15.75">
      <c r="A358" s="3">
        <v>354</v>
      </c>
      <c r="B358" s="13">
        <v>580380780</v>
      </c>
      <c r="C358" s="13" t="s">
        <v>563</v>
      </c>
      <c r="D358" s="13" t="s">
        <v>59</v>
      </c>
      <c r="E358" s="6">
        <v>30245</v>
      </c>
      <c r="F358" s="6">
        <v>15123</v>
      </c>
      <c r="G358" s="7">
        <f>F358/E358</f>
        <v>0.5000165316581253</v>
      </c>
      <c r="H358" s="14">
        <v>33090</v>
      </c>
      <c r="I358" s="15">
        <f>E358*$I$2</f>
        <v>21171.5</v>
      </c>
      <c r="J358" s="15">
        <f>H358*$J$2</f>
        <v>26472</v>
      </c>
      <c r="K358" s="85">
        <f>ROUND(IF(IF(MIN(I358,J358)&lt;F358,MIN(I358,J358)-F358,MIN(I358,J358))&lt;0,0,IF(MIN(I358,J358)&lt;F358,MIN(I358,J358)-F358,MIN(I358,J358))),0)</f>
        <v>21172</v>
      </c>
      <c r="L358" s="79">
        <v>15122.5</v>
      </c>
      <c r="M358" s="86">
        <f>ROUND(VLOOKUP(B358,גיליון1!A326:B1296,2,0),0)</f>
        <v>33090</v>
      </c>
      <c r="N358" s="108"/>
    </row>
    <row r="359" spans="1:14" ht="15.75">
      <c r="A359">
        <v>355</v>
      </c>
      <c r="B359" s="120">
        <v>580381440</v>
      </c>
      <c r="C359" s="120" t="s">
        <v>1074</v>
      </c>
      <c r="D359" s="13"/>
      <c r="E359" s="116">
        <v>20496</v>
      </c>
      <c r="F359" s="116">
        <v>5793</v>
      </c>
      <c r="G359" s="117"/>
      <c r="H359" s="118">
        <v>11586</v>
      </c>
      <c r="I359" s="15"/>
      <c r="J359" s="15"/>
      <c r="K359" s="110"/>
      <c r="L359" s="79"/>
      <c r="M359" s="86"/>
      <c r="N359" s="108"/>
    </row>
    <row r="360" spans="1:14" ht="15.75">
      <c r="A360" s="3">
        <v>356</v>
      </c>
      <c r="B360" s="12">
        <v>580382307</v>
      </c>
      <c r="C360" s="13" t="s">
        <v>368</v>
      </c>
      <c r="D360" s="13" t="s">
        <v>56</v>
      </c>
      <c r="E360" s="6">
        <v>26556.800000000003</v>
      </c>
      <c r="F360" s="6">
        <v>13278</v>
      </c>
      <c r="G360" s="7">
        <f aca="true" t="shared" si="70" ref="G360:G381">F360/E360</f>
        <v>0.4999849379443306</v>
      </c>
      <c r="H360" s="14">
        <v>29287</v>
      </c>
      <c r="I360" s="15">
        <f aca="true" t="shared" si="71" ref="I360:I381">E360*$I$2</f>
        <v>18589.760000000002</v>
      </c>
      <c r="J360" s="15">
        <f aca="true" t="shared" si="72" ref="J360:J381">H360*$J$2</f>
        <v>23429.600000000002</v>
      </c>
      <c r="K360" s="85">
        <f aca="true" t="shared" si="73" ref="K360:K381">ROUND(IF(IF(MIN(I360,J360)&lt;F360,MIN(I360,J360)-F360,MIN(I360,J360))&lt;0,0,IF(MIN(I360,J360)&lt;F360,MIN(I360,J360)-F360,MIN(I360,J360))),0)</f>
        <v>18590</v>
      </c>
      <c r="L360" s="79">
        <v>13278.400000000001</v>
      </c>
      <c r="M360" s="86">
        <f>ROUND(VLOOKUP(B360,גיליון1!A327:B1297,2,0),0)</f>
        <v>29287</v>
      </c>
      <c r="N360" s="108"/>
    </row>
    <row r="361" spans="1:14" ht="15">
      <c r="A361">
        <v>357</v>
      </c>
      <c r="B361" s="41">
        <v>580382315</v>
      </c>
      <c r="C361" s="42" t="s">
        <v>515</v>
      </c>
      <c r="D361" s="42" t="s">
        <v>68</v>
      </c>
      <c r="E361" s="6">
        <v>10791.25</v>
      </c>
      <c r="F361" s="6">
        <v>7554</v>
      </c>
      <c r="G361" s="7">
        <f t="shared" si="70"/>
        <v>0.7000115834588208</v>
      </c>
      <c r="H361" s="14">
        <v>11426</v>
      </c>
      <c r="I361" s="15">
        <f t="shared" si="71"/>
        <v>7553.874999999999</v>
      </c>
      <c r="J361" s="15">
        <f t="shared" si="72"/>
        <v>9140.800000000001</v>
      </c>
      <c r="K361" s="85">
        <f t="shared" si="73"/>
        <v>0</v>
      </c>
      <c r="L361" s="79">
        <v>7553.874999999999</v>
      </c>
      <c r="M361" s="86">
        <f>ROUND(VLOOKUP(B361,גיליון1!A328:B1298,2,0),0)</f>
        <v>11426</v>
      </c>
      <c r="N361" s="108"/>
    </row>
    <row r="362" spans="1:14" ht="15">
      <c r="A362" s="3">
        <v>358</v>
      </c>
      <c r="B362" s="18">
        <v>580382406</v>
      </c>
      <c r="C362" s="4" t="s">
        <v>734</v>
      </c>
      <c r="D362" s="4" t="s">
        <v>68</v>
      </c>
      <c r="E362" s="6">
        <v>93990.5</v>
      </c>
      <c r="F362" s="6">
        <v>46995</v>
      </c>
      <c r="G362" s="7">
        <f t="shared" si="70"/>
        <v>0.499997340156718</v>
      </c>
      <c r="H362" s="14">
        <v>60167</v>
      </c>
      <c r="I362" s="15">
        <f t="shared" si="71"/>
        <v>65793.34999999999</v>
      </c>
      <c r="J362" s="15">
        <f t="shared" si="72"/>
        <v>48133.600000000006</v>
      </c>
      <c r="K362" s="85">
        <f t="shared" si="73"/>
        <v>48134</v>
      </c>
      <c r="L362" s="79">
        <v>46995.25</v>
      </c>
      <c r="M362" s="86">
        <f>ROUND(VLOOKUP(B362,גיליון1!A329:B1299,2,0),0)</f>
        <v>60167</v>
      </c>
      <c r="N362" s="108"/>
    </row>
    <row r="363" spans="1:14" ht="15.75">
      <c r="A363">
        <v>359</v>
      </c>
      <c r="B363" s="52">
        <v>580382463</v>
      </c>
      <c r="C363" s="17" t="s">
        <v>592</v>
      </c>
      <c r="D363" s="13" t="s">
        <v>56</v>
      </c>
      <c r="E363" s="6">
        <v>143924.5</v>
      </c>
      <c r="F363" s="6">
        <v>100747</v>
      </c>
      <c r="G363" s="7">
        <f t="shared" si="70"/>
        <v>0.6999989577868952</v>
      </c>
      <c r="H363" s="14">
        <v>171075</v>
      </c>
      <c r="I363" s="15">
        <f t="shared" si="71"/>
        <v>100747.15</v>
      </c>
      <c r="J363" s="15">
        <f t="shared" si="72"/>
        <v>136860</v>
      </c>
      <c r="K363" s="85">
        <f t="shared" si="73"/>
        <v>100747</v>
      </c>
      <c r="L363" s="79">
        <v>100747.15</v>
      </c>
      <c r="M363" s="86">
        <f>ROUND(VLOOKUP(B363,גיליון1!A330:B1300,2,0),0)</f>
        <v>171078</v>
      </c>
      <c r="N363" s="108"/>
    </row>
    <row r="364" spans="1:14" ht="15.75">
      <c r="A364" s="3">
        <v>360</v>
      </c>
      <c r="B364" s="12">
        <v>580384204</v>
      </c>
      <c r="C364" s="13" t="s">
        <v>735</v>
      </c>
      <c r="D364" s="17" t="s">
        <v>59</v>
      </c>
      <c r="E364" s="6">
        <v>53852</v>
      </c>
      <c r="F364" s="6">
        <v>26926</v>
      </c>
      <c r="G364" s="7">
        <f t="shared" si="70"/>
        <v>0.5</v>
      </c>
      <c r="H364" s="14">
        <v>89449</v>
      </c>
      <c r="I364" s="15">
        <f t="shared" si="71"/>
        <v>37696.399999999994</v>
      </c>
      <c r="J364" s="15">
        <f t="shared" si="72"/>
        <v>71559.2</v>
      </c>
      <c r="K364" s="85">
        <f t="shared" si="73"/>
        <v>37696</v>
      </c>
      <c r="L364" s="79">
        <v>26926</v>
      </c>
      <c r="M364" s="86">
        <f>ROUND(VLOOKUP(B364,גיליון1!A331:B1301,2,0),0)</f>
        <v>89448</v>
      </c>
      <c r="N364" s="108"/>
    </row>
    <row r="365" spans="1:14" ht="15">
      <c r="A365">
        <v>361</v>
      </c>
      <c r="B365" s="18">
        <v>580384816</v>
      </c>
      <c r="C365" s="18" t="s">
        <v>713</v>
      </c>
      <c r="D365" s="4" t="s">
        <v>56</v>
      </c>
      <c r="E365" s="6">
        <v>111218</v>
      </c>
      <c r="F365" s="6">
        <v>55609</v>
      </c>
      <c r="G365" s="7">
        <f t="shared" si="70"/>
        <v>0.5</v>
      </c>
      <c r="H365" s="14">
        <v>80959</v>
      </c>
      <c r="I365" s="15">
        <f t="shared" si="71"/>
        <v>77852.59999999999</v>
      </c>
      <c r="J365" s="15">
        <f t="shared" si="72"/>
        <v>64767.200000000004</v>
      </c>
      <c r="K365" s="85">
        <f t="shared" si="73"/>
        <v>64767</v>
      </c>
      <c r="L365" s="79">
        <v>55609.00000000001</v>
      </c>
      <c r="M365" s="86">
        <f>ROUND(VLOOKUP(B365,גיליון1!A332:B1302,2,0),0)</f>
        <v>80957</v>
      </c>
      <c r="N365" s="108"/>
    </row>
    <row r="366" spans="1:14" ht="15.75">
      <c r="A366" s="3">
        <v>362</v>
      </c>
      <c r="B366" s="12">
        <v>580384881</v>
      </c>
      <c r="C366" s="13" t="s">
        <v>276</v>
      </c>
      <c r="D366" s="17" t="s">
        <v>59</v>
      </c>
      <c r="E366" s="6">
        <v>154678</v>
      </c>
      <c r="F366" s="6">
        <v>77339</v>
      </c>
      <c r="G366" s="7">
        <f t="shared" si="70"/>
        <v>0.5</v>
      </c>
      <c r="H366" s="14">
        <v>154669</v>
      </c>
      <c r="I366" s="15">
        <f t="shared" si="71"/>
        <v>108274.59999999999</v>
      </c>
      <c r="J366" s="15">
        <f t="shared" si="72"/>
        <v>123735.20000000001</v>
      </c>
      <c r="K366" s="85">
        <f t="shared" si="73"/>
        <v>108275</v>
      </c>
      <c r="L366" s="79">
        <v>77339</v>
      </c>
      <c r="M366" s="86">
        <f>ROUND(VLOOKUP(B366,גיליון1!A333:B1303,2,0),0)</f>
        <v>154668</v>
      </c>
      <c r="N366" s="108"/>
    </row>
    <row r="367" spans="1:14" ht="15.75">
      <c r="A367">
        <v>363</v>
      </c>
      <c r="B367" s="12">
        <v>580386092</v>
      </c>
      <c r="C367" s="13" t="s">
        <v>165</v>
      </c>
      <c r="D367" s="13" t="s">
        <v>56</v>
      </c>
      <c r="E367" s="6">
        <v>152632</v>
      </c>
      <c r="F367" s="6">
        <v>106842</v>
      </c>
      <c r="G367" s="7">
        <f t="shared" si="70"/>
        <v>0.6999973793175743</v>
      </c>
      <c r="H367" s="14">
        <v>142539</v>
      </c>
      <c r="I367" s="15">
        <f t="shared" si="71"/>
        <v>106842.4</v>
      </c>
      <c r="J367" s="15">
        <f t="shared" si="72"/>
        <v>114031.20000000001</v>
      </c>
      <c r="K367" s="85">
        <f t="shared" si="73"/>
        <v>106842</v>
      </c>
      <c r="L367" s="79">
        <v>106842.4</v>
      </c>
      <c r="M367" s="86">
        <f>ROUND(VLOOKUP(B367,גיליון1!A334:B1304,2,0),0)</f>
        <v>142538</v>
      </c>
      <c r="N367" s="108"/>
    </row>
    <row r="368" spans="1:14" ht="15.75">
      <c r="A368" s="3">
        <v>364</v>
      </c>
      <c r="B368" s="12">
        <v>580386316</v>
      </c>
      <c r="C368" s="13" t="s">
        <v>277</v>
      </c>
      <c r="D368" s="17" t="s">
        <v>64</v>
      </c>
      <c r="E368" s="6">
        <v>6065.5</v>
      </c>
      <c r="F368" s="6">
        <v>4246</v>
      </c>
      <c r="G368" s="7">
        <f t="shared" si="70"/>
        <v>0.7000247300305004</v>
      </c>
      <c r="H368" s="14">
        <v>5553</v>
      </c>
      <c r="I368" s="15">
        <f t="shared" si="71"/>
        <v>4245.849999999999</v>
      </c>
      <c r="J368" s="15">
        <f t="shared" si="72"/>
        <v>4442.400000000001</v>
      </c>
      <c r="K368" s="85">
        <f t="shared" si="73"/>
        <v>0</v>
      </c>
      <c r="L368" s="79">
        <v>4245.849999999999</v>
      </c>
      <c r="M368" s="86">
        <f>ROUND(VLOOKUP(B368,גיליון1!A335:B1305,2,0),0)</f>
        <v>5553</v>
      </c>
      <c r="N368" s="108"/>
    </row>
    <row r="369" spans="1:14" ht="15.75">
      <c r="A369">
        <v>365</v>
      </c>
      <c r="B369" s="12">
        <v>580386456</v>
      </c>
      <c r="C369" s="13" t="s">
        <v>694</v>
      </c>
      <c r="D369" s="13" t="s">
        <v>56</v>
      </c>
      <c r="E369" s="6">
        <v>298656.5</v>
      </c>
      <c r="F369" s="6">
        <v>209059.55</v>
      </c>
      <c r="G369" s="7">
        <f t="shared" si="70"/>
        <v>0.7</v>
      </c>
      <c r="H369" s="14">
        <v>307289</v>
      </c>
      <c r="I369" s="15">
        <f t="shared" si="71"/>
        <v>209059.55</v>
      </c>
      <c r="J369" s="15">
        <f t="shared" si="72"/>
        <v>245831.2</v>
      </c>
      <c r="K369" s="85">
        <f t="shared" si="73"/>
        <v>209060</v>
      </c>
      <c r="L369" s="79">
        <v>209059.55</v>
      </c>
      <c r="M369" s="86">
        <f>ROUND(VLOOKUP(B369,גיליון1!A336:B1306,2,0),0)</f>
        <v>307285</v>
      </c>
      <c r="N369" s="108"/>
    </row>
    <row r="370" spans="1:14" ht="15.75">
      <c r="A370" s="3">
        <v>366</v>
      </c>
      <c r="B370" s="12">
        <v>580387504</v>
      </c>
      <c r="C370" s="13" t="s">
        <v>278</v>
      </c>
      <c r="D370" s="17" t="s">
        <v>59</v>
      </c>
      <c r="E370" s="6">
        <v>227597.75</v>
      </c>
      <c r="F370" s="6">
        <v>113799</v>
      </c>
      <c r="G370" s="7">
        <f t="shared" si="70"/>
        <v>0.5000005492145683</v>
      </c>
      <c r="H370" s="14">
        <v>269707</v>
      </c>
      <c r="I370" s="15">
        <f t="shared" si="71"/>
        <v>159318.425</v>
      </c>
      <c r="J370" s="15">
        <f t="shared" si="72"/>
        <v>215765.6</v>
      </c>
      <c r="K370" s="85">
        <f t="shared" si="73"/>
        <v>159318</v>
      </c>
      <c r="L370" s="79">
        <v>113798.875</v>
      </c>
      <c r="M370" s="86">
        <f>ROUND(VLOOKUP(B370,גיליון1!A337:B1307,2,0),0)</f>
        <v>269710</v>
      </c>
      <c r="N370" s="108"/>
    </row>
    <row r="371" spans="1:14" ht="15.75">
      <c r="A371">
        <v>367</v>
      </c>
      <c r="B371" s="12">
        <v>580388205</v>
      </c>
      <c r="C371" s="13" t="s">
        <v>442</v>
      </c>
      <c r="D371" s="17" t="s">
        <v>59</v>
      </c>
      <c r="E371" s="6">
        <v>57535</v>
      </c>
      <c r="F371" s="6">
        <v>22784</v>
      </c>
      <c r="G371" s="7">
        <f t="shared" si="70"/>
        <v>0.39600243330146867</v>
      </c>
      <c r="H371" s="14">
        <v>22784</v>
      </c>
      <c r="I371" s="15">
        <f t="shared" si="71"/>
        <v>40274.5</v>
      </c>
      <c r="J371" s="15">
        <f t="shared" si="72"/>
        <v>18227.2</v>
      </c>
      <c r="K371" s="85">
        <f t="shared" si="73"/>
        <v>0</v>
      </c>
      <c r="L371" s="79">
        <v>28767.5</v>
      </c>
      <c r="M371" s="86">
        <f>ROUND(VLOOKUP(B371,גיליון1!A338:B1308,2,0),0)</f>
        <v>22784</v>
      </c>
      <c r="N371" s="108"/>
    </row>
    <row r="372" spans="1:14" ht="15.75">
      <c r="A372" s="3">
        <v>368</v>
      </c>
      <c r="B372" s="13">
        <v>580388536</v>
      </c>
      <c r="C372" s="13" t="s">
        <v>166</v>
      </c>
      <c r="D372" s="13" t="s">
        <v>64</v>
      </c>
      <c r="E372" s="6">
        <v>90052.25</v>
      </c>
      <c r="F372" s="6">
        <v>63037</v>
      </c>
      <c r="G372" s="7">
        <f t="shared" si="70"/>
        <v>0.7000047194823006</v>
      </c>
      <c r="H372" s="14">
        <v>220230</v>
      </c>
      <c r="I372" s="15">
        <f t="shared" si="71"/>
        <v>63036.575</v>
      </c>
      <c r="J372" s="15">
        <f t="shared" si="72"/>
        <v>176184</v>
      </c>
      <c r="K372" s="85">
        <f t="shared" si="73"/>
        <v>0</v>
      </c>
      <c r="L372" s="79">
        <v>63036.575</v>
      </c>
      <c r="M372" s="86">
        <f>ROUND(VLOOKUP(B372,גיליון1!A339:B1309,2,0),0)</f>
        <v>220230</v>
      </c>
      <c r="N372" s="108"/>
    </row>
    <row r="373" spans="1:14" ht="15">
      <c r="A373">
        <v>369</v>
      </c>
      <c r="B373" s="18">
        <v>580391845</v>
      </c>
      <c r="C373" s="4" t="s">
        <v>167</v>
      </c>
      <c r="D373" s="4" t="s">
        <v>68</v>
      </c>
      <c r="E373" s="6">
        <v>51728</v>
      </c>
      <c r="F373" s="6">
        <v>36210</v>
      </c>
      <c r="G373" s="7">
        <f t="shared" si="70"/>
        <v>0.7000077327559542</v>
      </c>
      <c r="H373" s="14">
        <v>49961</v>
      </c>
      <c r="I373" s="15">
        <f t="shared" si="71"/>
        <v>36209.6</v>
      </c>
      <c r="J373" s="15">
        <f t="shared" si="72"/>
        <v>39968.8</v>
      </c>
      <c r="K373" s="85">
        <f t="shared" si="73"/>
        <v>0</v>
      </c>
      <c r="L373" s="79">
        <v>36209.6</v>
      </c>
      <c r="M373" s="86">
        <f>ROUND(VLOOKUP(B373,גיליון1!A340:B1310,2,0),0)</f>
        <v>49961</v>
      </c>
      <c r="N373" s="108"/>
    </row>
    <row r="374" spans="1:14" ht="15.75">
      <c r="A374" s="3">
        <v>370</v>
      </c>
      <c r="B374" s="12">
        <v>580393502</v>
      </c>
      <c r="C374" s="13" t="s">
        <v>736</v>
      </c>
      <c r="D374" s="13" t="s">
        <v>56</v>
      </c>
      <c r="E374" s="6">
        <v>81793.5</v>
      </c>
      <c r="F374" s="6">
        <v>51314</v>
      </c>
      <c r="G374" s="7">
        <f t="shared" si="70"/>
        <v>0.6273603648211655</v>
      </c>
      <c r="H374" s="14">
        <v>64143</v>
      </c>
      <c r="I374" s="15">
        <f t="shared" si="71"/>
        <v>57255.45</v>
      </c>
      <c r="J374" s="15">
        <f t="shared" si="72"/>
        <v>51314.4</v>
      </c>
      <c r="K374" s="85">
        <f t="shared" si="73"/>
        <v>51314</v>
      </c>
      <c r="L374" s="79">
        <v>51314.4</v>
      </c>
      <c r="M374" s="86">
        <f>ROUND(VLOOKUP(B374,גיליון1!A341:B1311,2,0),0)</f>
        <v>64142</v>
      </c>
      <c r="N374" s="108"/>
    </row>
    <row r="375" spans="1:14" ht="15.75">
      <c r="A375">
        <v>371</v>
      </c>
      <c r="B375" s="12">
        <v>580394278</v>
      </c>
      <c r="C375" s="13" t="s">
        <v>279</v>
      </c>
      <c r="D375" s="17" t="s">
        <v>59</v>
      </c>
      <c r="E375" s="6">
        <v>993311.25</v>
      </c>
      <c r="F375" s="6">
        <v>496656</v>
      </c>
      <c r="G375" s="7">
        <f t="shared" si="70"/>
        <v>0.5000003775251715</v>
      </c>
      <c r="H375" s="14">
        <v>803454</v>
      </c>
      <c r="I375" s="15">
        <f t="shared" si="71"/>
        <v>695317.875</v>
      </c>
      <c r="J375" s="15">
        <f t="shared" si="72"/>
        <v>642763.2000000001</v>
      </c>
      <c r="K375" s="85">
        <f t="shared" si="73"/>
        <v>642763</v>
      </c>
      <c r="L375" s="79">
        <v>496655.625</v>
      </c>
      <c r="M375" s="86">
        <f>ROUND(VLOOKUP(B375,גיליון1!A342:B1312,2,0),0)</f>
        <v>803447</v>
      </c>
      <c r="N375" s="108"/>
    </row>
    <row r="376" spans="1:14" ht="15">
      <c r="A376" s="3">
        <v>372</v>
      </c>
      <c r="B376" s="44">
        <v>580395044</v>
      </c>
      <c r="C376" s="42" t="s">
        <v>369</v>
      </c>
      <c r="D376" s="42" t="s">
        <v>68</v>
      </c>
      <c r="E376" s="6">
        <v>16289.5</v>
      </c>
      <c r="F376" s="6">
        <v>5084</v>
      </c>
      <c r="G376" s="7">
        <f t="shared" si="70"/>
        <v>0.31210288836366984</v>
      </c>
      <c r="H376" s="14">
        <v>5084</v>
      </c>
      <c r="I376" s="15">
        <f t="shared" si="71"/>
        <v>11402.65</v>
      </c>
      <c r="J376" s="15">
        <f t="shared" si="72"/>
        <v>4067.2000000000003</v>
      </c>
      <c r="K376" s="85">
        <f t="shared" si="73"/>
        <v>0</v>
      </c>
      <c r="L376" s="79">
        <v>8144.749999999999</v>
      </c>
      <c r="M376" s="86">
        <f>ROUND(VLOOKUP(B376,גיליון1!A343:B1313,2,0),0)</f>
        <v>5084</v>
      </c>
      <c r="N376" s="108"/>
    </row>
    <row r="377" spans="1:14" ht="15.75">
      <c r="A377">
        <v>373</v>
      </c>
      <c r="B377" s="12">
        <v>580395465</v>
      </c>
      <c r="C377" s="13" t="s">
        <v>516</v>
      </c>
      <c r="D377" s="13" t="s">
        <v>56</v>
      </c>
      <c r="E377" s="6">
        <v>188337.25</v>
      </c>
      <c r="F377" s="6">
        <v>131836</v>
      </c>
      <c r="G377" s="7">
        <f t="shared" si="70"/>
        <v>0.6999996017781931</v>
      </c>
      <c r="H377" s="14">
        <v>234414</v>
      </c>
      <c r="I377" s="15">
        <f t="shared" si="71"/>
        <v>131836.07499999998</v>
      </c>
      <c r="J377" s="15">
        <f t="shared" si="72"/>
        <v>187531.2</v>
      </c>
      <c r="K377" s="85">
        <f t="shared" si="73"/>
        <v>131836</v>
      </c>
      <c r="L377" s="79">
        <v>131836.07499999998</v>
      </c>
      <c r="M377" s="86">
        <f>ROUND(VLOOKUP(B377,גיליון1!A344:B1314,2,0),0)</f>
        <v>234408</v>
      </c>
      <c r="N377" s="108"/>
    </row>
    <row r="378" spans="1:14" ht="30">
      <c r="A378" s="3">
        <v>374</v>
      </c>
      <c r="B378" s="13">
        <v>580395523</v>
      </c>
      <c r="C378" s="30" t="s">
        <v>168</v>
      </c>
      <c r="D378" s="13" t="s">
        <v>70</v>
      </c>
      <c r="E378" s="6">
        <v>73240.25</v>
      </c>
      <c r="F378" s="6">
        <v>51268</v>
      </c>
      <c r="G378" s="7">
        <f t="shared" si="70"/>
        <v>0.6999976106034591</v>
      </c>
      <c r="H378" s="14">
        <v>115067</v>
      </c>
      <c r="I378" s="15">
        <f t="shared" si="71"/>
        <v>51268.174999999996</v>
      </c>
      <c r="J378" s="15">
        <f t="shared" si="72"/>
        <v>92053.6</v>
      </c>
      <c r="K378" s="85">
        <f t="shared" si="73"/>
        <v>51268</v>
      </c>
      <c r="L378" s="79">
        <v>51268.174999999996</v>
      </c>
      <c r="M378" s="86">
        <f>ROUND(VLOOKUP(B378,גיליון1!A345:B1315,2,0),0)</f>
        <v>115065</v>
      </c>
      <c r="N378" s="108"/>
    </row>
    <row r="379" spans="1:14" ht="15.75">
      <c r="A379">
        <v>375</v>
      </c>
      <c r="B379" s="13">
        <v>580395853</v>
      </c>
      <c r="C379" s="13" t="s">
        <v>517</v>
      </c>
      <c r="D379" s="13" t="s">
        <v>64</v>
      </c>
      <c r="E379" s="6">
        <v>4132.75</v>
      </c>
      <c r="F379" s="6">
        <v>1653</v>
      </c>
      <c r="G379" s="7">
        <f t="shared" si="70"/>
        <v>0.39997580303671887</v>
      </c>
      <c r="H379" s="14">
        <v>4012</v>
      </c>
      <c r="I379" s="15">
        <f t="shared" si="71"/>
        <v>2892.9249999999997</v>
      </c>
      <c r="J379" s="15">
        <f t="shared" si="72"/>
        <v>3209.6000000000004</v>
      </c>
      <c r="K379" s="85">
        <f t="shared" si="73"/>
        <v>2893</v>
      </c>
      <c r="L379" s="79">
        <v>1653.1</v>
      </c>
      <c r="M379" s="86">
        <f>ROUND(VLOOKUP(B379,גיליון1!A346:B1316,2,0),0)</f>
        <v>4012</v>
      </c>
      <c r="N379" s="108"/>
    </row>
    <row r="380" spans="1:14" ht="15.75">
      <c r="A380" s="3">
        <v>376</v>
      </c>
      <c r="B380" s="37">
        <v>580396059</v>
      </c>
      <c r="C380" s="13" t="s">
        <v>370</v>
      </c>
      <c r="D380" s="17" t="s">
        <v>59</v>
      </c>
      <c r="E380" s="6">
        <v>87651.25</v>
      </c>
      <c r="F380" s="6">
        <v>61356</v>
      </c>
      <c r="G380" s="7">
        <f t="shared" si="70"/>
        <v>0.700001426106302</v>
      </c>
      <c r="H380" s="14">
        <v>87416</v>
      </c>
      <c r="I380" s="15">
        <f t="shared" si="71"/>
        <v>61355.87499999999</v>
      </c>
      <c r="J380" s="15">
        <f t="shared" si="72"/>
        <v>69932.8</v>
      </c>
      <c r="K380" s="85">
        <f t="shared" si="73"/>
        <v>0</v>
      </c>
      <c r="L380" s="79">
        <v>61355.87499999999</v>
      </c>
      <c r="M380" s="86">
        <f>ROUND(VLOOKUP(B380,גיליון1!A347:B1317,2,0),0)</f>
        <v>87459</v>
      </c>
      <c r="N380" s="108"/>
    </row>
    <row r="381" spans="1:14" ht="15.75">
      <c r="A381">
        <v>377</v>
      </c>
      <c r="B381" s="12">
        <v>580397107</v>
      </c>
      <c r="C381" s="13" t="s">
        <v>593</v>
      </c>
      <c r="D381" s="13" t="s">
        <v>56</v>
      </c>
      <c r="E381" s="6">
        <v>46845</v>
      </c>
      <c r="F381" s="6">
        <v>32792</v>
      </c>
      <c r="G381" s="7">
        <f t="shared" si="70"/>
        <v>0.7000106734977052</v>
      </c>
      <c r="H381" s="14">
        <v>79254</v>
      </c>
      <c r="I381" s="15">
        <f t="shared" si="71"/>
        <v>32791.5</v>
      </c>
      <c r="J381" s="15">
        <f t="shared" si="72"/>
        <v>63403.200000000004</v>
      </c>
      <c r="K381" s="85">
        <f t="shared" si="73"/>
        <v>0</v>
      </c>
      <c r="L381" s="79">
        <v>32791.5</v>
      </c>
      <c r="M381" s="86">
        <f>ROUND(VLOOKUP(B381,גיליון1!A348:B1318,2,0),0)</f>
        <v>79254</v>
      </c>
      <c r="N381" s="108"/>
    </row>
    <row r="382" spans="1:14" ht="15.75">
      <c r="A382" s="3">
        <v>378</v>
      </c>
      <c r="B382" s="121">
        <v>580398642</v>
      </c>
      <c r="C382" s="120" t="s">
        <v>1075</v>
      </c>
      <c r="D382" s="13"/>
      <c r="E382" s="116">
        <v>76482</v>
      </c>
      <c r="F382" s="116">
        <v>53537.575</v>
      </c>
      <c r="G382" s="117"/>
      <c r="H382" s="118">
        <v>80180</v>
      </c>
      <c r="I382" s="15"/>
      <c r="J382" s="15"/>
      <c r="K382" s="110"/>
      <c r="L382" s="79"/>
      <c r="M382" s="86"/>
      <c r="N382" s="108"/>
    </row>
    <row r="383" spans="1:14" ht="15.75">
      <c r="A383">
        <v>379</v>
      </c>
      <c r="B383" s="13">
        <v>580399111</v>
      </c>
      <c r="C383" s="13" t="s">
        <v>518</v>
      </c>
      <c r="D383" s="13" t="s">
        <v>64</v>
      </c>
      <c r="E383" s="6">
        <v>27695</v>
      </c>
      <c r="F383" s="6">
        <v>13848</v>
      </c>
      <c r="G383" s="7">
        <f>F383/E383</f>
        <v>0.5000180538003249</v>
      </c>
      <c r="H383" s="14">
        <v>32819</v>
      </c>
      <c r="I383" s="15">
        <f>E383*$I$2</f>
        <v>19386.5</v>
      </c>
      <c r="J383" s="15">
        <f>H383*$J$2</f>
        <v>26255.2</v>
      </c>
      <c r="K383" s="85">
        <f>ROUND(IF(IF(MIN(I383,J383)&lt;F383,MIN(I383,J383)-F383,MIN(I383,J383))&lt;0,0,IF(MIN(I383,J383)&lt;F383,MIN(I383,J383)-F383,MIN(I383,J383))),0)</f>
        <v>19387</v>
      </c>
      <c r="L383" s="79">
        <v>13847.5</v>
      </c>
      <c r="M383" s="86">
        <f>ROUND(VLOOKUP(B383,גיליון1!A349:B1319,2,0),0)</f>
        <v>32819</v>
      </c>
      <c r="N383" s="108"/>
    </row>
    <row r="384" spans="1:14" ht="15.75">
      <c r="A384" s="3">
        <v>380</v>
      </c>
      <c r="B384" s="60">
        <v>580399285</v>
      </c>
      <c r="C384" s="13" t="s">
        <v>752</v>
      </c>
      <c r="D384" s="13" t="s">
        <v>56</v>
      </c>
      <c r="E384" s="6">
        <v>3908</v>
      </c>
      <c r="F384" s="6">
        <v>1954</v>
      </c>
      <c r="G384" s="7">
        <f>F384/E384</f>
        <v>0.5</v>
      </c>
      <c r="H384" s="14">
        <v>3650</v>
      </c>
      <c r="I384" s="15">
        <f>E384*$I$2</f>
        <v>2735.6</v>
      </c>
      <c r="J384" s="15">
        <f>H384*$J$2</f>
        <v>2920</v>
      </c>
      <c r="K384" s="85">
        <f>ROUND(IF(IF(MIN(I384,J384)&lt;F384,MIN(I384,J384)-F384,MIN(I384,J384))&lt;0,0,IF(MIN(I384,J384)&lt;F384,MIN(I384,J384)-F384,MIN(I384,J384))),0)</f>
        <v>2736</v>
      </c>
      <c r="L384" s="79">
        <v>1954</v>
      </c>
      <c r="M384" s="86">
        <f>ROUND(VLOOKUP(B384,גיליון1!A350:B1320,2,0),0)</f>
        <v>3650</v>
      </c>
      <c r="N384" s="108"/>
    </row>
    <row r="385" spans="1:14" ht="15.75">
      <c r="A385">
        <v>381</v>
      </c>
      <c r="B385" s="53">
        <v>580399731</v>
      </c>
      <c r="C385" s="54" t="s">
        <v>659</v>
      </c>
      <c r="D385" s="54" t="s">
        <v>68</v>
      </c>
      <c r="E385" s="6">
        <v>3082.25</v>
      </c>
      <c r="F385" s="6">
        <v>1768</v>
      </c>
      <c r="G385" s="7">
        <f>F385/E385</f>
        <v>0.573606942979966</v>
      </c>
      <c r="H385" s="14">
        <v>2210</v>
      </c>
      <c r="I385" s="15">
        <f>E385*$I$2</f>
        <v>2157.575</v>
      </c>
      <c r="J385" s="15">
        <f>H385*$J$2</f>
        <v>1768</v>
      </c>
      <c r="K385" s="85">
        <f>ROUND(IF(IF(MIN(I385,J385)&lt;F385,MIN(I385,J385)-F385,MIN(I385,J385))&lt;0,0,IF(MIN(I385,J385)&lt;F385,MIN(I385,J385)-F385,MIN(I385,J385))),0)</f>
        <v>1768</v>
      </c>
      <c r="L385" s="79">
        <v>1768.128</v>
      </c>
      <c r="M385" s="86">
        <f>ROUND(VLOOKUP(B385,גיליון1!A351:B1321,2,0),0)</f>
        <v>2210</v>
      </c>
      <c r="N385" s="108"/>
    </row>
    <row r="386" spans="1:14" ht="15.75">
      <c r="A386" s="3">
        <v>382</v>
      </c>
      <c r="B386" s="129">
        <v>580401206</v>
      </c>
      <c r="C386" s="129" t="s">
        <v>956</v>
      </c>
      <c r="D386" s="13"/>
      <c r="E386" s="116"/>
      <c r="F386" s="116"/>
      <c r="G386" s="117"/>
      <c r="H386" s="118">
        <v>30669</v>
      </c>
      <c r="I386" s="15"/>
      <c r="J386" s="15"/>
      <c r="K386" s="110"/>
      <c r="L386" s="79"/>
      <c r="M386" s="86"/>
      <c r="N386" s="108"/>
    </row>
    <row r="387" spans="1:14" ht="15.75">
      <c r="A387">
        <v>383</v>
      </c>
      <c r="B387" s="53">
        <v>580401339</v>
      </c>
      <c r="C387" s="55" t="s">
        <v>660</v>
      </c>
      <c r="D387" s="56" t="s">
        <v>59</v>
      </c>
      <c r="E387" s="6">
        <v>160424</v>
      </c>
      <c r="F387" s="6">
        <v>80212</v>
      </c>
      <c r="G387" s="7">
        <f>F387/E387</f>
        <v>0.5</v>
      </c>
      <c r="H387" s="14">
        <v>190105</v>
      </c>
      <c r="I387" s="15">
        <f>E387*$I$2</f>
        <v>112296.79999999999</v>
      </c>
      <c r="J387" s="15">
        <f>H387*$J$2</f>
        <v>152084</v>
      </c>
      <c r="K387" s="85">
        <f>ROUND(IF(IF(MIN(I387,J387)&lt;F387,MIN(I387,J387)-F387,MIN(I387,J387))&lt;0,0,IF(MIN(I387,J387)&lt;F387,MIN(I387,J387)-F387,MIN(I387,J387))),0)</f>
        <v>112297</v>
      </c>
      <c r="L387" s="79">
        <v>80212</v>
      </c>
      <c r="M387" s="86">
        <f>ROUND(VLOOKUP(B387,גיליון1!A352:B1322,2,0),0)</f>
        <v>190106</v>
      </c>
      <c r="N387" s="108"/>
    </row>
    <row r="388" spans="1:14" ht="15.75">
      <c r="A388" s="3">
        <v>384</v>
      </c>
      <c r="B388" s="12">
        <v>580401818</v>
      </c>
      <c r="C388" s="13" t="s">
        <v>169</v>
      </c>
      <c r="D388" s="13" t="s">
        <v>56</v>
      </c>
      <c r="E388" s="6">
        <v>470790</v>
      </c>
      <c r="F388" s="6">
        <v>329553</v>
      </c>
      <c r="G388" s="7">
        <f>F388/E388</f>
        <v>0.7</v>
      </c>
      <c r="H388" s="14">
        <v>457233</v>
      </c>
      <c r="I388" s="15">
        <f>E388*$I$2</f>
        <v>329553</v>
      </c>
      <c r="J388" s="15">
        <f>H388*$J$2</f>
        <v>365786.4</v>
      </c>
      <c r="K388" s="85">
        <f>ROUND(IF(IF(MIN(I388,J388)&lt;F388,MIN(I388,J388)-F388,MIN(I388,J388))&lt;0,0,IF(MIN(I388,J388)&lt;F388,MIN(I388,J388)-F388,MIN(I388,J388))),0)</f>
        <v>329553</v>
      </c>
      <c r="L388" s="79">
        <v>329553</v>
      </c>
      <c r="M388" s="86">
        <f>ROUND(VLOOKUP(B388,גיליון1!A353:B1323,2,0),0)</f>
        <v>457228</v>
      </c>
      <c r="N388" s="108"/>
    </row>
    <row r="389" spans="1:14" ht="15.75">
      <c r="A389">
        <v>385</v>
      </c>
      <c r="B389" s="12">
        <v>580402048</v>
      </c>
      <c r="C389" s="13" t="s">
        <v>371</v>
      </c>
      <c r="D389" s="13" t="s">
        <v>56</v>
      </c>
      <c r="E389" s="6">
        <v>225278</v>
      </c>
      <c r="F389" s="6">
        <v>154063</v>
      </c>
      <c r="G389" s="7">
        <f>F389/E389</f>
        <v>0.6838794733618019</v>
      </c>
      <c r="H389" s="14">
        <v>263501</v>
      </c>
      <c r="I389" s="15">
        <f>E389*$I$2</f>
        <v>157694.59999999998</v>
      </c>
      <c r="J389" s="15">
        <f>H389*$J$2</f>
        <v>210800.80000000002</v>
      </c>
      <c r="K389" s="85">
        <f>ROUND(IF(IF(MIN(I389,J389)&lt;F389,MIN(I389,J389)-F389,MIN(I389,J389))&lt;0,0,IF(MIN(I389,J389)&lt;F389,MIN(I389,J389)-F389,MIN(I389,J389))),0)</f>
        <v>157695</v>
      </c>
      <c r="L389" s="79">
        <v>154063.025</v>
      </c>
      <c r="M389" s="86">
        <f>ROUND(VLOOKUP(B389,גיליון1!A354:B1324,2,0),0)</f>
        <v>263497</v>
      </c>
      <c r="N389" s="108"/>
    </row>
    <row r="390" spans="1:14" ht="15.75">
      <c r="A390" s="3">
        <v>386</v>
      </c>
      <c r="B390" s="122">
        <v>580402709</v>
      </c>
      <c r="C390" s="120" t="s">
        <v>957</v>
      </c>
      <c r="D390" s="13"/>
      <c r="E390" s="116"/>
      <c r="F390" s="116">
        <v>60792</v>
      </c>
      <c r="G390" s="117"/>
      <c r="H390" s="118">
        <v>191332</v>
      </c>
      <c r="I390" s="15"/>
      <c r="J390" s="15"/>
      <c r="K390" s="110"/>
      <c r="L390" s="79"/>
      <c r="M390" s="86"/>
      <c r="N390" s="108"/>
    </row>
    <row r="391" spans="1:14" ht="15.75">
      <c r="A391">
        <v>387</v>
      </c>
      <c r="B391" s="12">
        <v>580402808</v>
      </c>
      <c r="C391" s="30" t="s">
        <v>372</v>
      </c>
      <c r="D391" s="17" t="s">
        <v>59</v>
      </c>
      <c r="E391" s="6">
        <v>87529.5</v>
      </c>
      <c r="F391" s="6">
        <v>43765</v>
      </c>
      <c r="G391" s="7">
        <f aca="true" t="shared" si="74" ref="G391:G402">F391/E391</f>
        <v>0.5000028561799165</v>
      </c>
      <c r="H391" s="14">
        <v>114699</v>
      </c>
      <c r="I391" s="15">
        <f aca="true" t="shared" si="75" ref="I391:I402">E391*$I$2</f>
        <v>61270.649999999994</v>
      </c>
      <c r="J391" s="15">
        <f aca="true" t="shared" si="76" ref="J391:J402">H391*$J$2</f>
        <v>91759.20000000001</v>
      </c>
      <c r="K391" s="85">
        <f aca="true" t="shared" si="77" ref="K391:K402">ROUND(IF(IF(MIN(I391,J391)&lt;F391,MIN(I391,J391)-F391,MIN(I391,J391))&lt;0,0,IF(MIN(I391,J391)&lt;F391,MIN(I391,J391)-F391,MIN(I391,J391))),0)</f>
        <v>61271</v>
      </c>
      <c r="L391" s="79">
        <v>43764.75</v>
      </c>
      <c r="M391" s="86">
        <f>ROUND(VLOOKUP(B391,גיליון1!A355:B1325,2,0),0)</f>
        <v>114699</v>
      </c>
      <c r="N391" s="108"/>
    </row>
    <row r="392" spans="1:14" ht="15.75">
      <c r="A392" s="3">
        <v>388</v>
      </c>
      <c r="B392" s="12">
        <v>580403178</v>
      </c>
      <c r="C392" s="13" t="s">
        <v>280</v>
      </c>
      <c r="D392" s="17" t="s">
        <v>59</v>
      </c>
      <c r="E392" s="6">
        <v>54210.5</v>
      </c>
      <c r="F392" s="6">
        <v>27105</v>
      </c>
      <c r="G392" s="7">
        <f t="shared" si="74"/>
        <v>0.4999953883472759</v>
      </c>
      <c r="H392" s="14">
        <v>16968</v>
      </c>
      <c r="I392" s="15">
        <f t="shared" si="75"/>
        <v>37947.35</v>
      </c>
      <c r="J392" s="15">
        <f t="shared" si="76"/>
        <v>13574.400000000001</v>
      </c>
      <c r="K392" s="85">
        <f t="shared" si="77"/>
        <v>0</v>
      </c>
      <c r="L392" s="79">
        <v>27105.25</v>
      </c>
      <c r="M392" s="86">
        <f>ROUND(VLOOKUP(B392,גיליון1!A356:B1326,2,0),0)</f>
        <v>16968</v>
      </c>
      <c r="N392" s="108"/>
    </row>
    <row r="393" spans="1:14" ht="15.75">
      <c r="A393">
        <v>389</v>
      </c>
      <c r="B393" s="13">
        <v>580403491</v>
      </c>
      <c r="C393" s="13" t="s">
        <v>281</v>
      </c>
      <c r="D393" s="13" t="s">
        <v>64</v>
      </c>
      <c r="E393" s="6">
        <v>3994.5</v>
      </c>
      <c r="F393" s="6">
        <v>1997</v>
      </c>
      <c r="G393" s="7">
        <f t="shared" si="74"/>
        <v>0.49993741394417324</v>
      </c>
      <c r="H393" s="14">
        <v>4706</v>
      </c>
      <c r="I393" s="15">
        <f t="shared" si="75"/>
        <v>2796.1499999999996</v>
      </c>
      <c r="J393" s="15">
        <f t="shared" si="76"/>
        <v>3764.8</v>
      </c>
      <c r="K393" s="85">
        <f t="shared" si="77"/>
        <v>2796</v>
      </c>
      <c r="L393" s="79">
        <v>1997.25</v>
      </c>
      <c r="M393" s="86">
        <f>ROUND(VLOOKUP(B393,גיליון1!A357:B1327,2,0),0)</f>
        <v>4706</v>
      </c>
      <c r="N393" s="108"/>
    </row>
    <row r="394" spans="1:14" ht="15">
      <c r="A394" s="3">
        <v>390</v>
      </c>
      <c r="B394" s="18">
        <v>580403590</v>
      </c>
      <c r="C394" s="4" t="s">
        <v>170</v>
      </c>
      <c r="D394" s="4" t="s">
        <v>68</v>
      </c>
      <c r="E394" s="6">
        <v>293607</v>
      </c>
      <c r="F394" s="6">
        <v>205524.9</v>
      </c>
      <c r="G394" s="7">
        <f t="shared" si="74"/>
        <v>0.7</v>
      </c>
      <c r="H394" s="14">
        <v>329514</v>
      </c>
      <c r="I394" s="15">
        <f t="shared" si="75"/>
        <v>205524.9</v>
      </c>
      <c r="J394" s="15">
        <f t="shared" si="76"/>
        <v>263611.2</v>
      </c>
      <c r="K394" s="85">
        <f t="shared" si="77"/>
        <v>205525</v>
      </c>
      <c r="L394" s="79">
        <v>205524.9</v>
      </c>
      <c r="M394" s="86">
        <f>ROUND(VLOOKUP(B394,גיליון1!A358:B1328,2,0),0)</f>
        <v>329508</v>
      </c>
      <c r="N394" s="108"/>
    </row>
    <row r="395" spans="1:14" ht="15.75">
      <c r="A395">
        <v>391</v>
      </c>
      <c r="B395" s="23">
        <v>580404069</v>
      </c>
      <c r="C395" s="25" t="s">
        <v>119</v>
      </c>
      <c r="D395" s="25" t="s">
        <v>56</v>
      </c>
      <c r="E395" s="6">
        <f>247930.25+91295</f>
        <v>339225.25</v>
      </c>
      <c r="F395" s="6">
        <v>123668</v>
      </c>
      <c r="G395" s="7">
        <f t="shared" si="74"/>
        <v>0.36456012634672685</v>
      </c>
      <c r="H395" s="14">
        <f>189276+67681</f>
        <v>256957</v>
      </c>
      <c r="I395" s="15">
        <f t="shared" si="75"/>
        <v>237457.675</v>
      </c>
      <c r="J395" s="15">
        <f t="shared" si="76"/>
        <v>205565.6</v>
      </c>
      <c r="K395" s="85">
        <f t="shared" si="77"/>
        <v>205566</v>
      </c>
      <c r="L395" s="79">
        <v>123667.80000000002</v>
      </c>
      <c r="M395" s="86">
        <f>ROUND(VLOOKUP(B395,גיליון1!A359:B1329,2,0),0)</f>
        <v>189274</v>
      </c>
      <c r="N395" s="108"/>
    </row>
    <row r="396" spans="1:14" ht="15.75">
      <c r="A396" s="3">
        <v>392</v>
      </c>
      <c r="B396" s="37">
        <v>580404598</v>
      </c>
      <c r="C396" s="13" t="s">
        <v>519</v>
      </c>
      <c r="D396" s="17" t="s">
        <v>59</v>
      </c>
      <c r="E396" s="6">
        <v>49639.25</v>
      </c>
      <c r="F396" s="6">
        <v>19856</v>
      </c>
      <c r="G396" s="7">
        <f t="shared" si="74"/>
        <v>0.40000604360460723</v>
      </c>
      <c r="H396" s="14">
        <v>34342</v>
      </c>
      <c r="I396" s="15">
        <f t="shared" si="75"/>
        <v>34747.475</v>
      </c>
      <c r="J396" s="15">
        <f t="shared" si="76"/>
        <v>27473.600000000002</v>
      </c>
      <c r="K396" s="85">
        <f t="shared" si="77"/>
        <v>27474</v>
      </c>
      <c r="L396" s="79">
        <v>19855.7</v>
      </c>
      <c r="M396" s="86">
        <f>ROUND(VLOOKUP(B396,גיליון1!A360:B1330,2,0),0)</f>
        <v>34342</v>
      </c>
      <c r="N396" s="108"/>
    </row>
    <row r="397" spans="1:14" ht="15.75">
      <c r="A397">
        <v>393</v>
      </c>
      <c r="B397" s="12">
        <v>580404796</v>
      </c>
      <c r="C397" s="13" t="s">
        <v>520</v>
      </c>
      <c r="D397" s="17" t="s">
        <v>59</v>
      </c>
      <c r="E397" s="6">
        <v>98365.25</v>
      </c>
      <c r="F397" s="6">
        <v>49183</v>
      </c>
      <c r="G397" s="7">
        <f t="shared" si="74"/>
        <v>0.5000038123219328</v>
      </c>
      <c r="H397" s="14">
        <v>55124</v>
      </c>
      <c r="I397" s="15">
        <f t="shared" si="75"/>
        <v>68855.67499999999</v>
      </c>
      <c r="J397" s="15">
        <f t="shared" si="76"/>
        <v>44099.200000000004</v>
      </c>
      <c r="K397" s="85">
        <f t="shared" si="77"/>
        <v>0</v>
      </c>
      <c r="L397" s="79">
        <v>49182.625</v>
      </c>
      <c r="M397" s="86">
        <f>ROUND(VLOOKUP(B397,גיליון1!A361:B1331,2,0),0)</f>
        <v>55122</v>
      </c>
      <c r="N397" s="108"/>
    </row>
    <row r="398" spans="1:14" ht="15">
      <c r="A398" s="3">
        <v>394</v>
      </c>
      <c r="B398" s="18">
        <v>580405074</v>
      </c>
      <c r="C398" s="4" t="s">
        <v>695</v>
      </c>
      <c r="D398" s="4" t="s">
        <v>68</v>
      </c>
      <c r="E398" s="6">
        <v>6421.5</v>
      </c>
      <c r="F398" s="6">
        <v>2569</v>
      </c>
      <c r="G398" s="7">
        <f t="shared" si="74"/>
        <v>0.4000622907420385</v>
      </c>
      <c r="H398" s="14">
        <v>4862</v>
      </c>
      <c r="I398" s="15">
        <f t="shared" si="75"/>
        <v>4495.049999999999</v>
      </c>
      <c r="J398" s="15">
        <f t="shared" si="76"/>
        <v>3889.6000000000004</v>
      </c>
      <c r="K398" s="85">
        <f t="shared" si="77"/>
        <v>3890</v>
      </c>
      <c r="L398" s="79">
        <v>2568.6000000000004</v>
      </c>
      <c r="M398" s="86">
        <f>ROUND(VLOOKUP(B398,גיליון1!A362:B1332,2,0),0)</f>
        <v>4862</v>
      </c>
      <c r="N398" s="108"/>
    </row>
    <row r="399" spans="1:14" ht="15.75">
      <c r="A399">
        <v>395</v>
      </c>
      <c r="B399" s="12">
        <v>580406437</v>
      </c>
      <c r="C399" s="13" t="s">
        <v>282</v>
      </c>
      <c r="D399" s="17" t="s">
        <v>59</v>
      </c>
      <c r="E399" s="6">
        <v>161454.5</v>
      </c>
      <c r="F399" s="6">
        <v>113018</v>
      </c>
      <c r="G399" s="7">
        <f t="shared" si="74"/>
        <v>0.6999990709456844</v>
      </c>
      <c r="H399" s="14">
        <v>174922</v>
      </c>
      <c r="I399" s="15">
        <f t="shared" si="75"/>
        <v>113018.15</v>
      </c>
      <c r="J399" s="15">
        <f t="shared" si="76"/>
        <v>139937.6</v>
      </c>
      <c r="K399" s="85">
        <f t="shared" si="77"/>
        <v>113018</v>
      </c>
      <c r="L399" s="79">
        <v>113018.15</v>
      </c>
      <c r="M399" s="86">
        <f>ROUND(VLOOKUP(B399,גיליון1!A363:B1333,2,0),0)</f>
        <v>174918</v>
      </c>
      <c r="N399" s="108"/>
    </row>
    <row r="400" spans="1:14" ht="15.75">
      <c r="A400" s="3">
        <v>396</v>
      </c>
      <c r="B400" s="12">
        <v>580406817</v>
      </c>
      <c r="C400" s="13" t="s">
        <v>171</v>
      </c>
      <c r="D400" s="17" t="s">
        <v>59</v>
      </c>
      <c r="E400" s="6">
        <v>86785.5</v>
      </c>
      <c r="F400" s="6">
        <v>60750</v>
      </c>
      <c r="G400" s="7">
        <f t="shared" si="74"/>
        <v>0.7000017283993294</v>
      </c>
      <c r="H400" s="14">
        <v>110134</v>
      </c>
      <c r="I400" s="15">
        <f t="shared" si="75"/>
        <v>60749.85</v>
      </c>
      <c r="J400" s="15">
        <f t="shared" si="76"/>
        <v>88107.20000000001</v>
      </c>
      <c r="K400" s="85">
        <f t="shared" si="77"/>
        <v>0</v>
      </c>
      <c r="L400" s="79">
        <v>60749.85</v>
      </c>
      <c r="M400" s="86">
        <f>ROUND(VLOOKUP(B400,גיליון1!A364:B1334,2,0),0)</f>
        <v>110133</v>
      </c>
      <c r="N400" s="108"/>
    </row>
    <row r="401" spans="1:14" ht="15.75">
      <c r="A401">
        <v>397</v>
      </c>
      <c r="B401" s="12">
        <v>580407054</v>
      </c>
      <c r="C401" s="13" t="s">
        <v>443</v>
      </c>
      <c r="D401" s="13" t="s">
        <v>56</v>
      </c>
      <c r="E401" s="6">
        <v>20612.75</v>
      </c>
      <c r="F401" s="6">
        <v>10306</v>
      </c>
      <c r="G401" s="7">
        <f t="shared" si="74"/>
        <v>0.4999818073765024</v>
      </c>
      <c r="H401" s="14">
        <v>22355</v>
      </c>
      <c r="I401" s="15">
        <f t="shared" si="75"/>
        <v>14428.925</v>
      </c>
      <c r="J401" s="15">
        <f t="shared" si="76"/>
        <v>17884</v>
      </c>
      <c r="K401" s="85">
        <f t="shared" si="77"/>
        <v>14429</v>
      </c>
      <c r="L401" s="79">
        <v>10306.375</v>
      </c>
      <c r="M401" s="86">
        <f>ROUND(VLOOKUP(B401,גיליון1!A365:B1335,2,0),0)</f>
        <v>22355</v>
      </c>
      <c r="N401" s="108"/>
    </row>
    <row r="402" spans="1:14" ht="15.75">
      <c r="A402" s="3">
        <v>398</v>
      </c>
      <c r="B402" s="12">
        <v>580407880</v>
      </c>
      <c r="C402" s="13" t="s">
        <v>373</v>
      </c>
      <c r="D402" s="13" t="s">
        <v>56</v>
      </c>
      <c r="E402" s="6">
        <v>249980</v>
      </c>
      <c r="F402" s="6">
        <v>174986</v>
      </c>
      <c r="G402" s="7">
        <f t="shared" si="74"/>
        <v>0.7</v>
      </c>
      <c r="H402" s="14">
        <v>245374</v>
      </c>
      <c r="I402" s="15">
        <f t="shared" si="75"/>
        <v>174986</v>
      </c>
      <c r="J402" s="15">
        <f t="shared" si="76"/>
        <v>196299.2</v>
      </c>
      <c r="K402" s="85">
        <f t="shared" si="77"/>
        <v>174986</v>
      </c>
      <c r="L402" s="79">
        <v>174986</v>
      </c>
      <c r="M402" s="86">
        <f>ROUND(VLOOKUP(B402,גיליון1!A366:B1336,2,0),0)</f>
        <v>245375</v>
      </c>
      <c r="N402" s="108"/>
    </row>
    <row r="403" spans="1:14" ht="15.75">
      <c r="A403">
        <v>399</v>
      </c>
      <c r="B403" s="121">
        <v>580408607</v>
      </c>
      <c r="C403" s="120" t="s">
        <v>958</v>
      </c>
      <c r="D403" s="13"/>
      <c r="E403" s="116">
        <v>101498</v>
      </c>
      <c r="F403" s="116">
        <v>50749</v>
      </c>
      <c r="G403" s="117"/>
      <c r="H403" s="118">
        <v>164099</v>
      </c>
      <c r="I403" s="15"/>
      <c r="J403" s="15"/>
      <c r="K403" s="110"/>
      <c r="L403" s="79"/>
      <c r="M403" s="86"/>
      <c r="N403" s="108"/>
    </row>
    <row r="404" spans="1:14" ht="15.75">
      <c r="A404" s="3">
        <v>400</v>
      </c>
      <c r="B404" s="12">
        <v>580408847</v>
      </c>
      <c r="C404" s="13" t="s">
        <v>444</v>
      </c>
      <c r="D404" s="13" t="s">
        <v>56</v>
      </c>
      <c r="E404" s="6">
        <v>138093</v>
      </c>
      <c r="F404" s="6">
        <v>96665</v>
      </c>
      <c r="G404" s="7">
        <f>F404/E404</f>
        <v>0.6999992758503327</v>
      </c>
      <c r="H404" s="14">
        <v>144765</v>
      </c>
      <c r="I404" s="15">
        <f>E404*$I$2</f>
        <v>96665.09999999999</v>
      </c>
      <c r="J404" s="15">
        <f>H404*$J$2</f>
        <v>115812</v>
      </c>
      <c r="K404" s="85">
        <f>ROUND(IF(IF(MIN(I404,J404)&lt;F404,MIN(I404,J404)-F404,MIN(I404,J404))&lt;0,0,IF(MIN(I404,J404)&lt;F404,MIN(I404,J404)-F404,MIN(I404,J404))),0)</f>
        <v>96665</v>
      </c>
      <c r="L404" s="79">
        <v>96665.09999999999</v>
      </c>
      <c r="M404" s="86">
        <f>ROUND(VLOOKUP(B404,גיליון1!A367:B1337,2,0),0)</f>
        <v>144765</v>
      </c>
      <c r="N404" s="108"/>
    </row>
    <row r="405" spans="1:14" ht="15.75">
      <c r="A405">
        <v>401</v>
      </c>
      <c r="B405" s="12">
        <v>580409605</v>
      </c>
      <c r="C405" s="12" t="s">
        <v>632</v>
      </c>
      <c r="D405" s="13" t="s">
        <v>56</v>
      </c>
      <c r="E405" s="6">
        <v>30680.75</v>
      </c>
      <c r="F405" s="6">
        <v>15340</v>
      </c>
      <c r="G405" s="7">
        <f>F405/E405</f>
        <v>0.4999877773522486</v>
      </c>
      <c r="H405" s="14">
        <v>28518</v>
      </c>
      <c r="I405" s="15">
        <f>E405*$I$2</f>
        <v>21476.524999999998</v>
      </c>
      <c r="J405" s="15">
        <f>H405*$J$2</f>
        <v>22814.4</v>
      </c>
      <c r="K405" s="85">
        <f>ROUND(IF(IF(MIN(I405,J405)&lt;F405,MIN(I405,J405)-F405,MIN(I405,J405))&lt;0,0,IF(MIN(I405,J405)&lt;F405,MIN(I405,J405)-F405,MIN(I405,J405))),0)</f>
        <v>21477</v>
      </c>
      <c r="L405" s="79">
        <v>15340.375000000002</v>
      </c>
      <c r="M405" s="86">
        <f>ROUND(VLOOKUP(B405,גיליון1!A368:B1338,2,0),0)</f>
        <v>28517</v>
      </c>
      <c r="N405" s="108"/>
    </row>
    <row r="406" spans="1:14" ht="15.75">
      <c r="A406" s="3">
        <v>402</v>
      </c>
      <c r="B406" s="12">
        <v>580410108</v>
      </c>
      <c r="C406" s="13" t="s">
        <v>172</v>
      </c>
      <c r="D406" s="17" t="s">
        <v>59</v>
      </c>
      <c r="E406" s="6">
        <v>119570.75</v>
      </c>
      <c r="F406" s="6">
        <v>59785</v>
      </c>
      <c r="G406" s="7">
        <f>F406/E406</f>
        <v>0.499996863781485</v>
      </c>
      <c r="H406" s="14">
        <v>62152</v>
      </c>
      <c r="I406" s="15">
        <f>E406*$I$2</f>
        <v>83699.525</v>
      </c>
      <c r="J406" s="15">
        <f>H406*$J$2</f>
        <v>49721.600000000006</v>
      </c>
      <c r="K406" s="85">
        <f>ROUND(IF(IF(MIN(I406,J406)&lt;F406,MIN(I406,J406)-F406,MIN(I406,J406))&lt;0,0,IF(MIN(I406,J406)&lt;F406,MIN(I406,J406)-F406,MIN(I406,J406))),0)</f>
        <v>0</v>
      </c>
      <c r="L406" s="79">
        <v>59785.375</v>
      </c>
      <c r="M406" s="86">
        <f>ROUND(VLOOKUP(B406,גיליון1!A369:B1339,2,0),0)</f>
        <v>62151</v>
      </c>
      <c r="N406" s="108"/>
    </row>
    <row r="407" spans="1:14" ht="15.75">
      <c r="A407">
        <v>403</v>
      </c>
      <c r="B407" s="126">
        <v>580410611</v>
      </c>
      <c r="C407" s="126" t="s">
        <v>1076</v>
      </c>
      <c r="D407" s="13"/>
      <c r="E407" s="116">
        <v>27695</v>
      </c>
      <c r="F407" s="116">
        <v>19387</v>
      </c>
      <c r="G407" s="117"/>
      <c r="H407" s="118">
        <v>32819</v>
      </c>
      <c r="I407" s="15"/>
      <c r="J407" s="15"/>
      <c r="K407" s="110"/>
      <c r="L407" s="79"/>
      <c r="M407" s="86"/>
      <c r="N407" s="108"/>
    </row>
    <row r="408" spans="1:14" ht="15.75">
      <c r="A408" s="3">
        <v>404</v>
      </c>
      <c r="B408" s="12">
        <v>580410694</v>
      </c>
      <c r="C408" s="13" t="s">
        <v>283</v>
      </c>
      <c r="D408" s="13" t="s">
        <v>56</v>
      </c>
      <c r="E408" s="6">
        <v>36332</v>
      </c>
      <c r="F408" s="6">
        <v>25432</v>
      </c>
      <c r="G408" s="7">
        <f>F408/E408</f>
        <v>0.6999889904216668</v>
      </c>
      <c r="H408" s="14">
        <v>52119</v>
      </c>
      <c r="I408" s="15">
        <f>E408*$I$2</f>
        <v>25432.399999999998</v>
      </c>
      <c r="J408" s="15">
        <f>H408*$J$2</f>
        <v>41695.200000000004</v>
      </c>
      <c r="K408" s="85">
        <f>ROUND(IF(IF(MIN(I408,J408)&lt;F408,MIN(I408,J408)-F408,MIN(I408,J408))&lt;0,0,IF(MIN(I408,J408)&lt;F408,MIN(I408,J408)-F408,MIN(I408,J408))),0)</f>
        <v>25432</v>
      </c>
      <c r="L408" s="79">
        <v>25432.399999999998</v>
      </c>
      <c r="M408" s="86">
        <f>ROUND(VLOOKUP(B408,גיליון1!A370:B1340,2,0),0)</f>
        <v>52119</v>
      </c>
      <c r="N408" s="108"/>
    </row>
    <row r="409" spans="1:14" ht="15.75">
      <c r="A409">
        <v>405</v>
      </c>
      <c r="B409" s="12">
        <v>580410991</v>
      </c>
      <c r="C409" s="13" t="s">
        <v>173</v>
      </c>
      <c r="D409" s="13" t="s">
        <v>56</v>
      </c>
      <c r="E409" s="6">
        <v>60017</v>
      </c>
      <c r="F409" s="6">
        <v>42012</v>
      </c>
      <c r="G409" s="7">
        <f>F409/E409</f>
        <v>0.7000016661945782</v>
      </c>
      <c r="H409" s="14">
        <v>59689</v>
      </c>
      <c r="I409" s="15">
        <f>E409*$I$2</f>
        <v>42011.899999999994</v>
      </c>
      <c r="J409" s="15">
        <f>H409*$J$2</f>
        <v>47751.200000000004</v>
      </c>
      <c r="K409" s="85">
        <f>ROUND(IF(IF(MIN(I409,J409)&lt;F409,MIN(I409,J409)-F409,MIN(I409,J409))&lt;0,0,IF(MIN(I409,J409)&lt;F409,MIN(I409,J409)-F409,MIN(I409,J409))),0)</f>
        <v>0</v>
      </c>
      <c r="L409" s="79">
        <v>42011.899999999994</v>
      </c>
      <c r="M409" s="86">
        <f>ROUND(VLOOKUP(B409,גיליון1!A371:B1341,2,0),0)</f>
        <v>59688</v>
      </c>
      <c r="N409" s="108"/>
    </row>
    <row r="410" spans="1:14" ht="15.75">
      <c r="A410" s="3">
        <v>406</v>
      </c>
      <c r="B410" s="12">
        <v>580411858</v>
      </c>
      <c r="C410" s="13" t="s">
        <v>284</v>
      </c>
      <c r="D410" s="17" t="s">
        <v>59</v>
      </c>
      <c r="E410" s="6">
        <v>187381</v>
      </c>
      <c r="F410" s="6">
        <v>131167</v>
      </c>
      <c r="G410" s="7">
        <f>F410/E410</f>
        <v>0.7000016010161115</v>
      </c>
      <c r="H410" s="14">
        <v>196436</v>
      </c>
      <c r="I410" s="15">
        <f>E410*$I$2</f>
        <v>131166.69999999998</v>
      </c>
      <c r="J410" s="15">
        <f>H410*$J$2</f>
        <v>157148.80000000002</v>
      </c>
      <c r="K410" s="85">
        <f>ROUND(IF(IF(MIN(I410,J410)&lt;F410,MIN(I410,J410)-F410,MIN(I410,J410))&lt;0,0,IF(MIN(I410,J410)&lt;F410,MIN(I410,J410)-F410,MIN(I410,J410))),0)</f>
        <v>0</v>
      </c>
      <c r="L410" s="79">
        <v>131166.69999999998</v>
      </c>
      <c r="M410" s="86">
        <f>ROUND(VLOOKUP(B410,גיליון1!A372:B1342,2,0),0)</f>
        <v>196435</v>
      </c>
      <c r="N410" s="108"/>
    </row>
    <row r="411" spans="1:14" ht="15">
      <c r="A411">
        <v>407</v>
      </c>
      <c r="B411" s="41">
        <v>580411908</v>
      </c>
      <c r="C411" s="42" t="s">
        <v>285</v>
      </c>
      <c r="D411" s="42" t="s">
        <v>68</v>
      </c>
      <c r="E411" s="6">
        <v>110779.25</v>
      </c>
      <c r="F411" s="6">
        <v>55390</v>
      </c>
      <c r="G411" s="7">
        <f>F411/E411</f>
        <v>0.5000033851104787</v>
      </c>
      <c r="H411" s="14">
        <v>115742</v>
      </c>
      <c r="I411" s="15">
        <f>E411*$I$2</f>
        <v>77545.47499999999</v>
      </c>
      <c r="J411" s="15">
        <f>H411*$J$2</f>
        <v>92593.6</v>
      </c>
      <c r="K411" s="85">
        <f>ROUND(IF(IF(MIN(I411,J411)&lt;F411,MIN(I411,J411)-F411,MIN(I411,J411))&lt;0,0,IF(MIN(I411,J411)&lt;F411,MIN(I411,J411)-F411,MIN(I411,J411))),0)</f>
        <v>77545</v>
      </c>
      <c r="L411" s="79">
        <v>55389.625</v>
      </c>
      <c r="M411" s="86">
        <f>ROUND(VLOOKUP(B411,גיליון1!A373:B1343,2,0),0)</f>
        <v>115739</v>
      </c>
      <c r="N411" s="108"/>
    </row>
    <row r="412" spans="1:14" ht="15.75">
      <c r="A412" s="3">
        <v>408</v>
      </c>
      <c r="B412" s="129">
        <v>580412294</v>
      </c>
      <c r="C412" s="130" t="s">
        <v>1097</v>
      </c>
      <c r="D412" s="13"/>
      <c r="E412" s="116"/>
      <c r="F412" s="116"/>
      <c r="G412" s="117"/>
      <c r="H412" s="118">
        <v>158512</v>
      </c>
      <c r="I412" s="15"/>
      <c r="J412" s="15"/>
      <c r="K412" s="110"/>
      <c r="L412" s="79"/>
      <c r="M412" s="86"/>
      <c r="N412" s="108"/>
    </row>
    <row r="413" spans="1:14" ht="15.75">
      <c r="A413">
        <v>409</v>
      </c>
      <c r="B413" s="12">
        <v>580413961</v>
      </c>
      <c r="C413" s="13" t="s">
        <v>174</v>
      </c>
      <c r="D413" s="13" t="s">
        <v>90</v>
      </c>
      <c r="E413" s="6">
        <v>208300.5</v>
      </c>
      <c r="F413" s="6">
        <v>145810</v>
      </c>
      <c r="G413" s="7">
        <f>F413/E413</f>
        <v>0.6999983197351902</v>
      </c>
      <c r="H413" s="14">
        <v>216120</v>
      </c>
      <c r="I413" s="15">
        <f>E413*$I$2</f>
        <v>145810.34999999998</v>
      </c>
      <c r="J413" s="15">
        <f>H413*$J$2</f>
        <v>172896</v>
      </c>
      <c r="K413" s="85">
        <f>ROUND(IF(IF(MIN(I413,J413)&lt;F413,MIN(I413,J413)-F413,MIN(I413,J413))&lt;0,0,IF(MIN(I413,J413)&lt;F413,MIN(I413,J413)-F413,MIN(I413,J413))),0)</f>
        <v>145810</v>
      </c>
      <c r="L413" s="79">
        <v>145810.34999999998</v>
      </c>
      <c r="M413" s="86">
        <f>ROUND(VLOOKUP(B413,גיליון1!A374:B1344,2,0),0)</f>
        <v>216117</v>
      </c>
      <c r="N413" s="108"/>
    </row>
    <row r="414" spans="1:14" ht="15.75">
      <c r="A414" s="3">
        <v>410</v>
      </c>
      <c r="B414" s="12">
        <v>580413995</v>
      </c>
      <c r="C414" s="13" t="s">
        <v>175</v>
      </c>
      <c r="D414" s="17" t="s">
        <v>59</v>
      </c>
      <c r="E414" s="6">
        <v>120354.5</v>
      </c>
      <c r="F414" s="6">
        <v>84248</v>
      </c>
      <c r="G414" s="7">
        <f>F414/E414</f>
        <v>0.6999987536818316</v>
      </c>
      <c r="H414" s="14">
        <v>110851</v>
      </c>
      <c r="I414" s="15">
        <f>E414*$I$2</f>
        <v>84248.15</v>
      </c>
      <c r="J414" s="15">
        <f>H414*$J$2</f>
        <v>88680.8</v>
      </c>
      <c r="K414" s="85">
        <f>ROUND(IF(IF(MIN(I414,J414)&lt;F414,MIN(I414,J414)-F414,MIN(I414,J414))&lt;0,0,IF(MIN(I414,J414)&lt;F414,MIN(I414,J414)-F414,MIN(I414,J414))),0)</f>
        <v>84248</v>
      </c>
      <c r="L414" s="79">
        <v>84248.15</v>
      </c>
      <c r="M414" s="86">
        <f>ROUND(VLOOKUP(B414,גיליון1!A375:B1345,2,0),0)</f>
        <v>110852</v>
      </c>
      <c r="N414" s="108"/>
    </row>
    <row r="415" spans="1:14" ht="15.75">
      <c r="A415">
        <v>411</v>
      </c>
      <c r="B415" s="121">
        <v>580414118</v>
      </c>
      <c r="C415" s="120" t="s">
        <v>961</v>
      </c>
      <c r="D415" s="13"/>
      <c r="E415" s="116">
        <v>40216</v>
      </c>
      <c r="F415" s="116">
        <v>19814</v>
      </c>
      <c r="G415" s="117"/>
      <c r="H415" s="118">
        <v>39627</v>
      </c>
      <c r="I415" s="15"/>
      <c r="J415" s="15"/>
      <c r="K415" s="110"/>
      <c r="L415" s="79"/>
      <c r="M415" s="86"/>
      <c r="N415" s="108"/>
    </row>
    <row r="416" spans="1:14" ht="15.75">
      <c r="A416" s="3">
        <v>412</v>
      </c>
      <c r="B416" s="12">
        <v>580414266</v>
      </c>
      <c r="C416" s="13" t="s">
        <v>521</v>
      </c>
      <c r="D416" s="13" t="s">
        <v>56</v>
      </c>
      <c r="E416" s="6">
        <v>316573.25</v>
      </c>
      <c r="F416" s="6">
        <v>221601</v>
      </c>
      <c r="G416" s="7">
        <f aca="true" t="shared" si="78" ref="G416:G444">F416/E416</f>
        <v>0.6999991313226875</v>
      </c>
      <c r="H416" s="14">
        <v>292665</v>
      </c>
      <c r="I416" s="15">
        <f aca="true" t="shared" si="79" ref="I416:I444">E416*$I$2</f>
        <v>221601.275</v>
      </c>
      <c r="J416" s="15">
        <f aca="true" t="shared" si="80" ref="J416:J444">H416*$J$2</f>
        <v>234132</v>
      </c>
      <c r="K416" s="85">
        <f aca="true" t="shared" si="81" ref="K416:K444">ROUND(IF(IF(MIN(I416,J416)&lt;F416,MIN(I416,J416)-F416,MIN(I416,J416))&lt;0,0,IF(MIN(I416,J416)&lt;F416,MIN(I416,J416)-F416,MIN(I416,J416))),0)</f>
        <v>221601</v>
      </c>
      <c r="L416" s="79">
        <v>221601.275</v>
      </c>
      <c r="M416" s="86">
        <f>ROUND(VLOOKUP(B416,גיליון1!A376:B1346,2,0),0)</f>
        <v>292665</v>
      </c>
      <c r="N416" s="108"/>
    </row>
    <row r="417" spans="1:14" ht="15.75">
      <c r="A417">
        <v>413</v>
      </c>
      <c r="B417" s="12">
        <v>580414613</v>
      </c>
      <c r="C417" s="13" t="s">
        <v>176</v>
      </c>
      <c r="D417" s="13" t="s">
        <v>56</v>
      </c>
      <c r="E417" s="6">
        <v>267434.5</v>
      </c>
      <c r="F417" s="6">
        <v>177362</v>
      </c>
      <c r="G417" s="7">
        <f t="shared" si="78"/>
        <v>0.6631979045336335</v>
      </c>
      <c r="H417" s="14">
        <v>221703</v>
      </c>
      <c r="I417" s="15">
        <f t="shared" si="79"/>
        <v>187204.15</v>
      </c>
      <c r="J417" s="15">
        <f t="shared" si="80"/>
        <v>177362.40000000002</v>
      </c>
      <c r="K417" s="85">
        <f t="shared" si="81"/>
        <v>177362</v>
      </c>
      <c r="L417" s="79">
        <v>177362.40000000002</v>
      </c>
      <c r="M417" s="86">
        <f>ROUND(VLOOKUP(B417,גיליון1!A377:B1347,2,0),0)</f>
        <v>221705</v>
      </c>
      <c r="N417" s="108"/>
    </row>
    <row r="418" spans="1:14" ht="15.75">
      <c r="A418" s="3">
        <v>414</v>
      </c>
      <c r="B418" s="12">
        <v>580415040</v>
      </c>
      <c r="C418" s="13" t="s">
        <v>594</v>
      </c>
      <c r="D418" s="17" t="s">
        <v>59</v>
      </c>
      <c r="E418" s="6">
        <v>248810.75</v>
      </c>
      <c r="F418" s="6">
        <v>174167.525</v>
      </c>
      <c r="G418" s="7">
        <f t="shared" si="78"/>
        <v>0.7</v>
      </c>
      <c r="H418" s="14">
        <v>294850</v>
      </c>
      <c r="I418" s="15">
        <f t="shared" si="79"/>
        <v>174167.525</v>
      </c>
      <c r="J418" s="15">
        <f t="shared" si="80"/>
        <v>235880</v>
      </c>
      <c r="K418" s="85">
        <f t="shared" si="81"/>
        <v>174168</v>
      </c>
      <c r="L418" s="79">
        <v>174167.525</v>
      </c>
      <c r="M418" s="86">
        <f>ROUND(VLOOKUP(B418,גיליון1!A378:B1348,2,0),0)</f>
        <v>294848</v>
      </c>
      <c r="N418" s="108"/>
    </row>
    <row r="419" spans="1:14" ht="15.75">
      <c r="A419">
        <v>415</v>
      </c>
      <c r="B419" s="12">
        <v>580416824</v>
      </c>
      <c r="C419" s="13" t="s">
        <v>445</v>
      </c>
      <c r="D419" s="17" t="s">
        <v>59</v>
      </c>
      <c r="E419" s="6">
        <v>791606</v>
      </c>
      <c r="F419" s="6">
        <v>500906</v>
      </c>
      <c r="G419" s="7">
        <f t="shared" si="78"/>
        <v>0.6327718587277004</v>
      </c>
      <c r="H419" s="14">
        <v>778501</v>
      </c>
      <c r="I419" s="15">
        <f t="shared" si="79"/>
        <v>554124.2</v>
      </c>
      <c r="J419" s="15">
        <f t="shared" si="80"/>
        <v>622800.8</v>
      </c>
      <c r="K419" s="85">
        <f t="shared" si="81"/>
        <v>554124</v>
      </c>
      <c r="L419" s="79">
        <v>73459.2</v>
      </c>
      <c r="M419" s="86">
        <f>ROUND(VLOOKUP(B419,גיליון1!A379:B1349,2,0),0)</f>
        <v>778486</v>
      </c>
      <c r="N419" s="108"/>
    </row>
    <row r="420" spans="1:14" ht="15.75">
      <c r="A420" s="3">
        <v>416</v>
      </c>
      <c r="B420" s="12">
        <v>580417020</v>
      </c>
      <c r="C420" s="13" t="s">
        <v>286</v>
      </c>
      <c r="D420" s="17" t="s">
        <v>59</v>
      </c>
      <c r="E420" s="6">
        <v>60103.5</v>
      </c>
      <c r="F420" s="6">
        <v>42072</v>
      </c>
      <c r="G420" s="7">
        <f t="shared" si="78"/>
        <v>0.6999925129152212</v>
      </c>
      <c r="H420" s="14">
        <v>87109</v>
      </c>
      <c r="I420" s="15">
        <f t="shared" si="79"/>
        <v>42072.45</v>
      </c>
      <c r="J420" s="15">
        <f t="shared" si="80"/>
        <v>69687.2</v>
      </c>
      <c r="K420" s="85">
        <f t="shared" si="81"/>
        <v>42072</v>
      </c>
      <c r="L420" s="79">
        <v>42072.45</v>
      </c>
      <c r="M420" s="86">
        <f>ROUND(VLOOKUP(B420,גיליון1!A380:B1350,2,0),0)</f>
        <v>87110</v>
      </c>
      <c r="N420" s="108"/>
    </row>
    <row r="421" spans="1:14" ht="15.75">
      <c r="A421">
        <v>417</v>
      </c>
      <c r="B421" s="12">
        <v>580417509</v>
      </c>
      <c r="C421" s="13" t="s">
        <v>177</v>
      </c>
      <c r="D421" s="17" t="s">
        <v>59</v>
      </c>
      <c r="E421" s="6">
        <v>1391098</v>
      </c>
      <c r="F421" s="6">
        <v>959313</v>
      </c>
      <c r="G421" s="7">
        <f t="shared" si="78"/>
        <v>0.689608496310109</v>
      </c>
      <c r="H421" s="14">
        <f>1345020+250534</f>
        <v>1595554</v>
      </c>
      <c r="I421" s="15">
        <f t="shared" si="79"/>
        <v>973768.6</v>
      </c>
      <c r="J421" s="15">
        <f t="shared" si="80"/>
        <v>1276443.2000000002</v>
      </c>
      <c r="K421" s="85">
        <f t="shared" si="81"/>
        <v>973769</v>
      </c>
      <c r="L421" s="79">
        <v>891460.8</v>
      </c>
      <c r="M421" s="86">
        <f>ROUND(VLOOKUP(B421,גיליון1!A381:B1351,2,0),0)</f>
        <v>1345008</v>
      </c>
      <c r="N421" s="108"/>
    </row>
    <row r="422" spans="1:14" ht="15.75">
      <c r="A422" s="3">
        <v>418</v>
      </c>
      <c r="B422" s="12">
        <v>580417608</v>
      </c>
      <c r="C422" s="13" t="s">
        <v>178</v>
      </c>
      <c r="D422" s="17" t="s">
        <v>59</v>
      </c>
      <c r="E422" s="6">
        <v>447536.25</v>
      </c>
      <c r="F422" s="6">
        <v>223768</v>
      </c>
      <c r="G422" s="7">
        <f t="shared" si="78"/>
        <v>0.4999997206930165</v>
      </c>
      <c r="H422" s="14">
        <v>130926</v>
      </c>
      <c r="I422" s="15">
        <f t="shared" si="79"/>
        <v>313275.375</v>
      </c>
      <c r="J422" s="15">
        <f t="shared" si="80"/>
        <v>104740.8</v>
      </c>
      <c r="K422" s="85">
        <f t="shared" si="81"/>
        <v>0</v>
      </c>
      <c r="L422" s="79">
        <v>223768.125</v>
      </c>
      <c r="M422" s="86">
        <f>ROUND(VLOOKUP(B422,גיליון1!A383:B1353,2,0),0)</f>
        <v>130927</v>
      </c>
      <c r="N422" s="108"/>
    </row>
    <row r="423" spans="1:14" ht="15.75">
      <c r="A423">
        <v>419</v>
      </c>
      <c r="B423" s="12">
        <v>580417681</v>
      </c>
      <c r="C423" s="13" t="s">
        <v>595</v>
      </c>
      <c r="D423" s="13" t="s">
        <v>56</v>
      </c>
      <c r="E423" s="6">
        <v>176726</v>
      </c>
      <c r="F423" s="6">
        <v>118150</v>
      </c>
      <c r="G423" s="7">
        <f t="shared" si="78"/>
        <v>0.6685490533368038</v>
      </c>
      <c r="H423" s="14">
        <v>147688</v>
      </c>
      <c r="I423" s="15">
        <f t="shared" si="79"/>
        <v>123708.2</v>
      </c>
      <c r="J423" s="15">
        <f t="shared" si="80"/>
        <v>118150.40000000001</v>
      </c>
      <c r="K423" s="85">
        <f t="shared" si="81"/>
        <v>118150</v>
      </c>
      <c r="L423" s="79">
        <v>118150.40000000001</v>
      </c>
      <c r="M423" s="86">
        <f>ROUND(VLOOKUP(B423,גיליון1!A384:B1354,2,0),0)</f>
        <v>147686</v>
      </c>
      <c r="N423" s="108"/>
    </row>
    <row r="424" spans="1:14" ht="15.75">
      <c r="A424" s="3">
        <v>420</v>
      </c>
      <c r="B424" s="12">
        <v>580417715</v>
      </c>
      <c r="C424" s="13" t="s">
        <v>374</v>
      </c>
      <c r="D424" s="17" t="s">
        <v>59</v>
      </c>
      <c r="E424" s="6">
        <v>87894</v>
      </c>
      <c r="F424" s="6">
        <v>61526</v>
      </c>
      <c r="G424" s="7">
        <f t="shared" si="78"/>
        <v>0.7000022754681776</v>
      </c>
      <c r="H424" s="14">
        <v>116126</v>
      </c>
      <c r="I424" s="15">
        <f t="shared" si="79"/>
        <v>61525.799999999996</v>
      </c>
      <c r="J424" s="15">
        <f t="shared" si="80"/>
        <v>92900.8</v>
      </c>
      <c r="K424" s="85">
        <f t="shared" si="81"/>
        <v>0</v>
      </c>
      <c r="L424" s="79">
        <v>61525.799999999996</v>
      </c>
      <c r="M424" s="86">
        <f>ROUND(VLOOKUP(B424,גיליון1!A385:B1355,2,0),0)</f>
        <v>116123</v>
      </c>
      <c r="N424" s="108"/>
    </row>
    <row r="425" spans="1:14" ht="15.75">
      <c r="A425">
        <v>421</v>
      </c>
      <c r="B425" s="12">
        <v>580418226</v>
      </c>
      <c r="C425" s="13" t="s">
        <v>375</v>
      </c>
      <c r="D425" s="17" t="s">
        <v>59</v>
      </c>
      <c r="E425" s="6">
        <v>51911</v>
      </c>
      <c r="F425" s="6">
        <v>20764</v>
      </c>
      <c r="G425" s="7">
        <f t="shared" si="78"/>
        <v>0.399992294504055</v>
      </c>
      <c r="H425" s="14">
        <v>58909</v>
      </c>
      <c r="I425" s="15">
        <f t="shared" si="79"/>
        <v>36337.7</v>
      </c>
      <c r="J425" s="15">
        <f t="shared" si="80"/>
        <v>47127.200000000004</v>
      </c>
      <c r="K425" s="85">
        <f t="shared" si="81"/>
        <v>36338</v>
      </c>
      <c r="L425" s="79">
        <v>20764.4</v>
      </c>
      <c r="M425" s="86">
        <f>ROUND(VLOOKUP(B425,גיליון1!A386:B1356,2,0),0)</f>
        <v>58908</v>
      </c>
      <c r="N425" s="108"/>
    </row>
    <row r="426" spans="1:14" ht="15.75">
      <c r="A426" s="3">
        <v>422</v>
      </c>
      <c r="B426" s="12">
        <v>580418663</v>
      </c>
      <c r="C426" s="13" t="s">
        <v>696</v>
      </c>
      <c r="D426" s="13" t="s">
        <v>56</v>
      </c>
      <c r="E426" s="6">
        <v>201726.25</v>
      </c>
      <c r="F426" s="6">
        <v>100863</v>
      </c>
      <c r="G426" s="7">
        <f t="shared" si="78"/>
        <v>0.49999938034836816</v>
      </c>
      <c r="H426" s="14">
        <v>202341</v>
      </c>
      <c r="I426" s="15">
        <f t="shared" si="79"/>
        <v>141208.375</v>
      </c>
      <c r="J426" s="15">
        <f t="shared" si="80"/>
        <v>161872.80000000002</v>
      </c>
      <c r="K426" s="85">
        <f t="shared" si="81"/>
        <v>141208</v>
      </c>
      <c r="L426" s="79">
        <v>100863.125</v>
      </c>
      <c r="M426" s="86">
        <f>ROUND(VLOOKUP(B426,גיליון1!A387:B1357,2,0),0)</f>
        <v>202337</v>
      </c>
      <c r="N426" s="108"/>
    </row>
    <row r="427" spans="1:14" ht="15.75">
      <c r="A427">
        <v>423</v>
      </c>
      <c r="B427" s="12">
        <v>580418689</v>
      </c>
      <c r="C427" s="12" t="s">
        <v>633</v>
      </c>
      <c r="D427" s="13" t="s">
        <v>56</v>
      </c>
      <c r="E427" s="6">
        <v>43234</v>
      </c>
      <c r="F427" s="6">
        <v>27885</v>
      </c>
      <c r="G427" s="7">
        <f t="shared" si="78"/>
        <v>0.6449784891520562</v>
      </c>
      <c r="H427" s="14">
        <v>34856</v>
      </c>
      <c r="I427" s="15">
        <f t="shared" si="79"/>
        <v>30263.8</v>
      </c>
      <c r="J427" s="15">
        <f t="shared" si="80"/>
        <v>27884.800000000003</v>
      </c>
      <c r="K427" s="85">
        <f t="shared" si="81"/>
        <v>0</v>
      </c>
      <c r="L427" s="79">
        <v>27884.800000000003</v>
      </c>
      <c r="M427" s="86">
        <f>ROUND(VLOOKUP(B427,גיליון1!A388:B1358,2,0),0)</f>
        <v>34855</v>
      </c>
      <c r="N427" s="108"/>
    </row>
    <row r="428" spans="1:14" ht="15.75">
      <c r="A428" s="3">
        <v>424</v>
      </c>
      <c r="B428" s="37">
        <v>580418820</v>
      </c>
      <c r="C428" s="13" t="s">
        <v>376</v>
      </c>
      <c r="D428" s="13" t="s">
        <v>56</v>
      </c>
      <c r="E428" s="6">
        <v>78370.5</v>
      </c>
      <c r="F428" s="6">
        <v>39185</v>
      </c>
      <c r="G428" s="7">
        <f t="shared" si="78"/>
        <v>0.49999681002418</v>
      </c>
      <c r="H428" s="14">
        <v>109282</v>
      </c>
      <c r="I428" s="15">
        <f t="shared" si="79"/>
        <v>54859.35</v>
      </c>
      <c r="J428" s="15">
        <f t="shared" si="80"/>
        <v>87425.6</v>
      </c>
      <c r="K428" s="85">
        <f t="shared" si="81"/>
        <v>54859</v>
      </c>
      <c r="L428" s="79">
        <v>39185.25</v>
      </c>
      <c r="M428" s="86">
        <f>ROUND(VLOOKUP(B428,גיליון1!A389:B1359,2,0),0)</f>
        <v>109280</v>
      </c>
      <c r="N428" s="108"/>
    </row>
    <row r="429" spans="1:14" ht="15.75">
      <c r="A429">
        <v>425</v>
      </c>
      <c r="B429" s="12">
        <v>580418853</v>
      </c>
      <c r="C429" s="13" t="s">
        <v>179</v>
      </c>
      <c r="D429" s="17" t="s">
        <v>59</v>
      </c>
      <c r="E429" s="6">
        <v>154496.75</v>
      </c>
      <c r="F429" s="6">
        <v>108148</v>
      </c>
      <c r="G429" s="7">
        <f t="shared" si="78"/>
        <v>0.7000017799727178</v>
      </c>
      <c r="H429" s="14">
        <v>177329</v>
      </c>
      <c r="I429" s="15">
        <f t="shared" si="79"/>
        <v>108147.72499999999</v>
      </c>
      <c r="J429" s="15">
        <f t="shared" si="80"/>
        <v>141863.2</v>
      </c>
      <c r="K429" s="85">
        <f t="shared" si="81"/>
        <v>0</v>
      </c>
      <c r="L429" s="79">
        <v>108147.72499999999</v>
      </c>
      <c r="M429" s="86">
        <f>ROUND(VLOOKUP(B429,גיליון1!A390:B1360,2,0),0)</f>
        <v>177329</v>
      </c>
      <c r="N429" s="108"/>
    </row>
    <row r="430" spans="1:14" ht="15.75">
      <c r="A430" s="3">
        <v>426</v>
      </c>
      <c r="B430" s="12">
        <v>580418960</v>
      </c>
      <c r="C430" s="13" t="s">
        <v>377</v>
      </c>
      <c r="D430" s="17" t="s">
        <v>59</v>
      </c>
      <c r="E430" s="6">
        <v>689874</v>
      </c>
      <c r="F430" s="6">
        <v>482912</v>
      </c>
      <c r="G430" s="7">
        <f t="shared" si="78"/>
        <v>0.7000002899080122</v>
      </c>
      <c r="H430" s="14">
        <v>1007639</v>
      </c>
      <c r="I430" s="15">
        <f t="shared" si="79"/>
        <v>482911.8</v>
      </c>
      <c r="J430" s="15">
        <f t="shared" si="80"/>
        <v>806111.2000000001</v>
      </c>
      <c r="K430" s="85">
        <f t="shared" si="81"/>
        <v>0</v>
      </c>
      <c r="L430" s="79">
        <v>332525.19999999995</v>
      </c>
      <c r="M430" s="86">
        <f>ROUND(VLOOKUP(B430,גיליון1!A391:B1361,2,0),0)</f>
        <v>1007639</v>
      </c>
      <c r="N430" s="108"/>
    </row>
    <row r="431" spans="1:14" ht="15.75">
      <c r="A431">
        <v>427</v>
      </c>
      <c r="B431" s="12">
        <v>580419216</v>
      </c>
      <c r="C431" s="13" t="s">
        <v>378</v>
      </c>
      <c r="D431" s="13" t="s">
        <v>56</v>
      </c>
      <c r="E431" s="6">
        <v>51058</v>
      </c>
      <c r="F431" s="6">
        <v>21978</v>
      </c>
      <c r="G431" s="7">
        <f t="shared" si="78"/>
        <v>0.43045164322926865</v>
      </c>
      <c r="H431" s="14">
        <v>58824</v>
      </c>
      <c r="I431" s="15">
        <f t="shared" si="79"/>
        <v>35740.6</v>
      </c>
      <c r="J431" s="15">
        <f t="shared" si="80"/>
        <v>47059.200000000004</v>
      </c>
      <c r="K431" s="85">
        <f t="shared" si="81"/>
        <v>35741</v>
      </c>
      <c r="L431" s="79">
        <v>21978.25</v>
      </c>
      <c r="M431" s="86">
        <f>ROUND(VLOOKUP(B431,גיליון1!A392:B1362,2,0),0)</f>
        <v>58824</v>
      </c>
      <c r="N431" s="108"/>
    </row>
    <row r="432" spans="1:14" ht="15.75">
      <c r="A432" s="3">
        <v>428</v>
      </c>
      <c r="B432" s="53">
        <v>580419315</v>
      </c>
      <c r="C432" s="55" t="s">
        <v>661</v>
      </c>
      <c r="D432" s="56" t="s">
        <v>59</v>
      </c>
      <c r="E432" s="6">
        <v>270879.75</v>
      </c>
      <c r="F432" s="6">
        <v>135440</v>
      </c>
      <c r="G432" s="7">
        <f t="shared" si="78"/>
        <v>0.5000004614593745</v>
      </c>
      <c r="H432" s="14">
        <v>283547</v>
      </c>
      <c r="I432" s="15">
        <f t="shared" si="79"/>
        <v>189615.82499999998</v>
      </c>
      <c r="J432" s="15">
        <f t="shared" si="80"/>
        <v>226837.6</v>
      </c>
      <c r="K432" s="85">
        <f t="shared" si="81"/>
        <v>189616</v>
      </c>
      <c r="L432" s="79">
        <v>135439.875</v>
      </c>
      <c r="M432" s="86">
        <f>ROUND(VLOOKUP(B432,גיליון1!A393:B1363,2,0),0)</f>
        <v>283544</v>
      </c>
      <c r="N432" s="108"/>
    </row>
    <row r="433" spans="1:14" ht="15">
      <c r="A433">
        <v>429</v>
      </c>
      <c r="B433" s="18">
        <v>580419810</v>
      </c>
      <c r="C433" s="18" t="s">
        <v>552</v>
      </c>
      <c r="D433" s="4" t="s">
        <v>59</v>
      </c>
      <c r="E433" s="6">
        <v>150508.25</v>
      </c>
      <c r="F433" s="6">
        <v>75254</v>
      </c>
      <c r="G433" s="7">
        <f t="shared" si="78"/>
        <v>0.49999916948074274</v>
      </c>
      <c r="H433" s="14">
        <v>163983</v>
      </c>
      <c r="I433" s="15">
        <f t="shared" si="79"/>
        <v>105355.775</v>
      </c>
      <c r="J433" s="15">
        <f t="shared" si="80"/>
        <v>131186.4</v>
      </c>
      <c r="K433" s="85">
        <f t="shared" si="81"/>
        <v>105356</v>
      </c>
      <c r="L433" s="79">
        <v>75254.125</v>
      </c>
      <c r="M433" s="86">
        <f>ROUND(VLOOKUP(B433,גיליון1!A394:B1364,2,0),0)</f>
        <v>163980</v>
      </c>
      <c r="N433" s="108"/>
    </row>
    <row r="434" spans="1:14" ht="15.75">
      <c r="A434" s="3">
        <v>430</v>
      </c>
      <c r="B434" s="12">
        <v>580419950</v>
      </c>
      <c r="C434" s="13" t="s">
        <v>287</v>
      </c>
      <c r="D434" s="13" t="s">
        <v>56</v>
      </c>
      <c r="E434" s="6">
        <v>110632.5</v>
      </c>
      <c r="F434" s="6">
        <v>77443</v>
      </c>
      <c r="G434" s="7">
        <f t="shared" si="78"/>
        <v>0.7000022597338034</v>
      </c>
      <c r="H434" s="14">
        <v>131103</v>
      </c>
      <c r="I434" s="15">
        <f t="shared" si="79"/>
        <v>77442.75</v>
      </c>
      <c r="J434" s="15">
        <f t="shared" si="80"/>
        <v>104882.40000000001</v>
      </c>
      <c r="K434" s="85">
        <f t="shared" si="81"/>
        <v>0</v>
      </c>
      <c r="L434" s="79">
        <v>77442.75</v>
      </c>
      <c r="M434" s="86">
        <f>ROUND(VLOOKUP(B434,גיליון1!A395:B1365,2,0),0)</f>
        <v>131102</v>
      </c>
      <c r="N434" s="108"/>
    </row>
    <row r="435" spans="1:14" ht="15.75">
      <c r="A435">
        <v>431</v>
      </c>
      <c r="B435" s="12">
        <v>580420347</v>
      </c>
      <c r="C435" s="13" t="s">
        <v>288</v>
      </c>
      <c r="D435" s="17" t="s">
        <v>59</v>
      </c>
      <c r="E435" s="6">
        <v>364954.75</v>
      </c>
      <c r="F435" s="6">
        <v>255468</v>
      </c>
      <c r="G435" s="7">
        <f t="shared" si="78"/>
        <v>0.6999991094786409</v>
      </c>
      <c r="H435" s="14">
        <v>439447</v>
      </c>
      <c r="I435" s="15">
        <f t="shared" si="79"/>
        <v>255468.32499999998</v>
      </c>
      <c r="J435" s="15">
        <f t="shared" si="80"/>
        <v>351557.60000000003</v>
      </c>
      <c r="K435" s="85">
        <f t="shared" si="81"/>
        <v>255468</v>
      </c>
      <c r="L435" s="79">
        <v>255468.32499999998</v>
      </c>
      <c r="M435" s="86">
        <f>ROUND(VLOOKUP(B435,גיליון1!A396:B1366,2,0),0)</f>
        <v>439445</v>
      </c>
      <c r="N435" s="108"/>
    </row>
    <row r="436" spans="1:14" ht="15.75">
      <c r="A436" s="3">
        <v>432</v>
      </c>
      <c r="B436" s="12">
        <v>580420768</v>
      </c>
      <c r="C436" s="13" t="s">
        <v>379</v>
      </c>
      <c r="D436" s="17" t="s">
        <v>59</v>
      </c>
      <c r="E436" s="6">
        <v>150414.75</v>
      </c>
      <c r="F436" s="6">
        <v>105290</v>
      </c>
      <c r="G436" s="7">
        <f t="shared" si="78"/>
        <v>0.6999978393076477</v>
      </c>
      <c r="H436" s="14">
        <v>204385</v>
      </c>
      <c r="I436" s="15">
        <f t="shared" si="79"/>
        <v>105290.325</v>
      </c>
      <c r="J436" s="15">
        <f t="shared" si="80"/>
        <v>163508</v>
      </c>
      <c r="K436" s="85">
        <f t="shared" si="81"/>
        <v>105290</v>
      </c>
      <c r="L436" s="79">
        <v>105290.325</v>
      </c>
      <c r="M436" s="86">
        <f>ROUND(VLOOKUP(B436,גיליון1!A397:B1367,2,0),0)</f>
        <v>204379</v>
      </c>
      <c r="N436" s="108"/>
    </row>
    <row r="437" spans="1:14" ht="15.75">
      <c r="A437">
        <v>433</v>
      </c>
      <c r="B437" s="53">
        <v>580420883</v>
      </c>
      <c r="C437" s="55" t="s">
        <v>662</v>
      </c>
      <c r="D437" s="56" t="s">
        <v>59</v>
      </c>
      <c r="E437" s="6">
        <v>82325.25</v>
      </c>
      <c r="F437" s="6">
        <v>57628</v>
      </c>
      <c r="G437" s="7">
        <f t="shared" si="78"/>
        <v>0.7000039477560044</v>
      </c>
      <c r="H437" s="14">
        <v>115033</v>
      </c>
      <c r="I437" s="15">
        <f t="shared" si="79"/>
        <v>57627.674999999996</v>
      </c>
      <c r="J437" s="15">
        <f t="shared" si="80"/>
        <v>92026.40000000001</v>
      </c>
      <c r="K437" s="85">
        <f t="shared" si="81"/>
        <v>0</v>
      </c>
      <c r="L437" s="79">
        <v>57627.674999999996</v>
      </c>
      <c r="M437" s="86">
        <f>ROUND(VLOOKUP(B437,גיליון1!A398:B1368,2,0),0)</f>
        <v>115033</v>
      </c>
      <c r="N437" s="108"/>
    </row>
    <row r="438" spans="1:14" ht="15.75">
      <c r="A438" s="3">
        <v>434</v>
      </c>
      <c r="B438" s="12">
        <v>580421105</v>
      </c>
      <c r="C438" s="13" t="s">
        <v>446</v>
      </c>
      <c r="D438" s="13" t="s">
        <v>56</v>
      </c>
      <c r="E438" s="6">
        <v>249941.25</v>
      </c>
      <c r="F438" s="6">
        <v>101719</v>
      </c>
      <c r="G438" s="7">
        <f t="shared" si="78"/>
        <v>0.4069716383350087</v>
      </c>
      <c r="H438" s="14">
        <v>257380</v>
      </c>
      <c r="I438" s="15">
        <f t="shared" si="79"/>
        <v>174958.875</v>
      </c>
      <c r="J438" s="15">
        <f t="shared" si="80"/>
        <v>205904</v>
      </c>
      <c r="K438" s="85">
        <f t="shared" si="81"/>
        <v>174959</v>
      </c>
      <c r="L438" s="79">
        <v>8711.625</v>
      </c>
      <c r="M438" s="86">
        <f>ROUND(VLOOKUP(B438,גיליון1!A399:B1369,2,0),0)</f>
        <v>257376</v>
      </c>
      <c r="N438" s="108"/>
    </row>
    <row r="439" spans="1:14" ht="15.75">
      <c r="A439">
        <v>435</v>
      </c>
      <c r="B439" s="13">
        <v>580421402</v>
      </c>
      <c r="C439" s="13" t="s">
        <v>380</v>
      </c>
      <c r="D439" s="13" t="s">
        <v>64</v>
      </c>
      <c r="E439" s="6">
        <v>23076.75</v>
      </c>
      <c r="F439" s="6">
        <v>11538</v>
      </c>
      <c r="G439" s="7">
        <f t="shared" si="78"/>
        <v>0.4999837498781241</v>
      </c>
      <c r="H439" s="14">
        <v>13236</v>
      </c>
      <c r="I439" s="15">
        <f t="shared" si="79"/>
        <v>16153.724999999999</v>
      </c>
      <c r="J439" s="15">
        <f t="shared" si="80"/>
        <v>10588.800000000001</v>
      </c>
      <c r="K439" s="85">
        <f t="shared" si="81"/>
        <v>0</v>
      </c>
      <c r="L439" s="79">
        <v>11538.375</v>
      </c>
      <c r="M439" s="86">
        <f>ROUND(VLOOKUP(B439,גיליון1!A401:B1371,2,0),0)</f>
        <v>13236</v>
      </c>
      <c r="N439" s="108"/>
    </row>
    <row r="440" spans="1:14" ht="15.75">
      <c r="A440" s="3">
        <v>436</v>
      </c>
      <c r="B440" s="12">
        <v>580421915</v>
      </c>
      <c r="C440" s="13" t="s">
        <v>180</v>
      </c>
      <c r="D440" s="17" t="s">
        <v>59</v>
      </c>
      <c r="E440" s="6">
        <v>862744.5</v>
      </c>
      <c r="F440" s="6">
        <v>431372</v>
      </c>
      <c r="G440" s="7">
        <f t="shared" si="78"/>
        <v>0.49999971022707185</v>
      </c>
      <c r="H440" s="14">
        <v>1087561</v>
      </c>
      <c r="I440" s="15">
        <f t="shared" si="79"/>
        <v>603921.1499999999</v>
      </c>
      <c r="J440" s="15">
        <f t="shared" si="80"/>
        <v>870048.8</v>
      </c>
      <c r="K440" s="85">
        <f t="shared" si="81"/>
        <v>603921</v>
      </c>
      <c r="L440" s="79">
        <v>431372.25</v>
      </c>
      <c r="M440" s="86">
        <f>ROUND(VLOOKUP(B440,גיליון1!A402:B1372,2,0),0)</f>
        <v>1087553</v>
      </c>
      <c r="N440" s="108"/>
    </row>
    <row r="441" spans="1:14" ht="15.75">
      <c r="A441">
        <v>437</v>
      </c>
      <c r="B441" s="12">
        <v>580422129</v>
      </c>
      <c r="C441" s="12" t="s">
        <v>634</v>
      </c>
      <c r="D441" s="13" t="s">
        <v>59</v>
      </c>
      <c r="E441" s="6">
        <v>13208</v>
      </c>
      <c r="F441" s="6">
        <v>6604</v>
      </c>
      <c r="G441" s="7">
        <f t="shared" si="78"/>
        <v>0.5</v>
      </c>
      <c r="H441" s="14">
        <v>43170</v>
      </c>
      <c r="I441" s="15">
        <f t="shared" si="79"/>
        <v>9245.599999999999</v>
      </c>
      <c r="J441" s="15">
        <f t="shared" si="80"/>
        <v>34536</v>
      </c>
      <c r="K441" s="85">
        <f t="shared" si="81"/>
        <v>9246</v>
      </c>
      <c r="L441" s="79">
        <v>6604.000000000001</v>
      </c>
      <c r="M441" s="86">
        <f>ROUND(VLOOKUP(B441,גיליון1!A404:B1374,2,0),0)</f>
        <v>43170</v>
      </c>
      <c r="N441" s="108"/>
    </row>
    <row r="442" spans="1:14" ht="15.75">
      <c r="A442" s="3">
        <v>438</v>
      </c>
      <c r="B442" s="12">
        <v>580422277</v>
      </c>
      <c r="C442" s="13" t="s">
        <v>447</v>
      </c>
      <c r="D442" s="13" t="s">
        <v>56</v>
      </c>
      <c r="E442" s="6">
        <v>148503.25</v>
      </c>
      <c r="F442" s="6">
        <v>74252</v>
      </c>
      <c r="G442" s="7">
        <f t="shared" si="78"/>
        <v>0.50000252519726</v>
      </c>
      <c r="H442" s="14">
        <v>91982</v>
      </c>
      <c r="I442" s="15">
        <f t="shared" si="79"/>
        <v>103952.275</v>
      </c>
      <c r="J442" s="15">
        <f t="shared" si="80"/>
        <v>73585.6</v>
      </c>
      <c r="K442" s="85">
        <f t="shared" si="81"/>
        <v>0</v>
      </c>
      <c r="L442" s="79">
        <v>74251.625</v>
      </c>
      <c r="M442" s="86">
        <f>ROUND(VLOOKUP(B442,גיליון1!A405:B1375,2,0),0)</f>
        <v>91982</v>
      </c>
      <c r="N442" s="108"/>
    </row>
    <row r="443" spans="1:14" ht="15.75">
      <c r="A443">
        <v>439</v>
      </c>
      <c r="B443" s="12">
        <v>580422962</v>
      </c>
      <c r="C443" s="13" t="s">
        <v>290</v>
      </c>
      <c r="D443" s="17" t="s">
        <v>59</v>
      </c>
      <c r="E443" s="6">
        <v>25779</v>
      </c>
      <c r="F443" s="6">
        <v>12890</v>
      </c>
      <c r="G443" s="7">
        <f t="shared" si="78"/>
        <v>0.5000193956321036</v>
      </c>
      <c r="H443" s="14">
        <v>47689</v>
      </c>
      <c r="I443" s="15">
        <f t="shared" si="79"/>
        <v>18045.3</v>
      </c>
      <c r="J443" s="15">
        <f t="shared" si="80"/>
        <v>38151.200000000004</v>
      </c>
      <c r="K443" s="85">
        <f t="shared" si="81"/>
        <v>18045</v>
      </c>
      <c r="L443" s="79">
        <v>12889.5</v>
      </c>
      <c r="M443" s="86">
        <f>ROUND(VLOOKUP(B443,גיליון1!A406:B1376,2,0),0)</f>
        <v>47689</v>
      </c>
      <c r="N443" s="108"/>
    </row>
    <row r="444" spans="1:14" ht="15.75">
      <c r="A444" s="3">
        <v>440</v>
      </c>
      <c r="B444" s="12">
        <v>580423069</v>
      </c>
      <c r="C444" s="13" t="s">
        <v>181</v>
      </c>
      <c r="D444" s="17" t="s">
        <v>59</v>
      </c>
      <c r="E444" s="6">
        <v>191801.25</v>
      </c>
      <c r="F444" s="6">
        <v>95901</v>
      </c>
      <c r="G444" s="7">
        <f t="shared" si="78"/>
        <v>0.5000019551488846</v>
      </c>
      <c r="H444" s="14">
        <v>184692</v>
      </c>
      <c r="I444" s="15">
        <f t="shared" si="79"/>
        <v>134260.875</v>
      </c>
      <c r="J444" s="15">
        <f t="shared" si="80"/>
        <v>147753.6</v>
      </c>
      <c r="K444" s="85">
        <f t="shared" si="81"/>
        <v>134261</v>
      </c>
      <c r="L444" s="79">
        <v>95900.625</v>
      </c>
      <c r="M444" s="86">
        <f>ROUND(VLOOKUP(B444,גיליון1!A407:B1377,2,0),0)</f>
        <v>184694</v>
      </c>
      <c r="N444" s="108"/>
    </row>
    <row r="445" spans="1:14" ht="15.75">
      <c r="A445">
        <v>441</v>
      </c>
      <c r="B445" s="121">
        <v>580424406</v>
      </c>
      <c r="C445" s="120" t="s">
        <v>963</v>
      </c>
      <c r="D445" s="13"/>
      <c r="E445" s="116">
        <v>43016</v>
      </c>
      <c r="F445" s="116">
        <v>21508</v>
      </c>
      <c r="G445" s="117"/>
      <c r="H445" s="118">
        <v>52172</v>
      </c>
      <c r="I445" s="15"/>
      <c r="J445" s="15"/>
      <c r="K445" s="110"/>
      <c r="L445" s="79"/>
      <c r="M445" s="86"/>
      <c r="N445" s="108"/>
    </row>
    <row r="446" spans="1:14" ht="15.75">
      <c r="A446" s="3">
        <v>442</v>
      </c>
      <c r="B446" s="12">
        <v>580424638</v>
      </c>
      <c r="C446" s="13" t="s">
        <v>182</v>
      </c>
      <c r="D446" s="17" t="s">
        <v>59</v>
      </c>
      <c r="E446" s="6">
        <v>713388.5</v>
      </c>
      <c r="F446" s="6">
        <v>356694</v>
      </c>
      <c r="G446" s="7">
        <f aca="true" t="shared" si="82" ref="G446:G460">F446/E446</f>
        <v>0.4999996495598121</v>
      </c>
      <c r="H446" s="14">
        <v>679640</v>
      </c>
      <c r="I446" s="15">
        <f aca="true" t="shared" si="83" ref="I446:I460">E446*$I$2</f>
        <v>499371.94999999995</v>
      </c>
      <c r="J446" s="15">
        <f aca="true" t="shared" si="84" ref="J446:J460">H446*$J$2</f>
        <v>543712</v>
      </c>
      <c r="K446" s="85">
        <f aca="true" t="shared" si="85" ref="K446:K460">ROUND(IF(IF(MIN(I446,J446)&lt;F446,MIN(I446,J446)-F446,MIN(I446,J446))&lt;0,0,IF(MIN(I446,J446)&lt;F446,MIN(I446,J446)-F446,MIN(I446,J446))),0)</f>
        <v>499372</v>
      </c>
      <c r="L446" s="79">
        <v>356694.25</v>
      </c>
      <c r="M446" s="86">
        <f>ROUND(VLOOKUP(B446,גיליון1!A408:B1378,2,0),0)</f>
        <v>679636</v>
      </c>
      <c r="N446" s="108"/>
    </row>
    <row r="447" spans="1:14" ht="15.75">
      <c r="A447">
        <v>443</v>
      </c>
      <c r="B447" s="12">
        <v>580428878</v>
      </c>
      <c r="C447" s="13" t="s">
        <v>183</v>
      </c>
      <c r="D447" s="17" t="s">
        <v>56</v>
      </c>
      <c r="E447" s="6">
        <v>59220.5</v>
      </c>
      <c r="F447" s="6">
        <v>41454</v>
      </c>
      <c r="G447" s="7">
        <f t="shared" si="82"/>
        <v>0.699994089884415</v>
      </c>
      <c r="H447" s="14">
        <v>69129</v>
      </c>
      <c r="I447" s="15">
        <f t="shared" si="83"/>
        <v>41454.35</v>
      </c>
      <c r="J447" s="15">
        <f t="shared" si="84"/>
        <v>55303.200000000004</v>
      </c>
      <c r="K447" s="85">
        <f t="shared" si="85"/>
        <v>41454</v>
      </c>
      <c r="L447" s="79">
        <v>41454.35</v>
      </c>
      <c r="M447" s="86">
        <f>ROUND(VLOOKUP(B447,גיליון1!A409:B1379,2,0),0)</f>
        <v>69129</v>
      </c>
      <c r="N447" s="108"/>
    </row>
    <row r="448" spans="1:14" ht="15.75">
      <c r="A448" s="3">
        <v>444</v>
      </c>
      <c r="B448" s="12">
        <v>580430072</v>
      </c>
      <c r="C448" s="13" t="s">
        <v>184</v>
      </c>
      <c r="D448" s="17" t="s">
        <v>59</v>
      </c>
      <c r="E448" s="6">
        <v>139124</v>
      </c>
      <c r="F448" s="6">
        <v>97387</v>
      </c>
      <c r="G448" s="7">
        <f t="shared" si="82"/>
        <v>0.7000014375664875</v>
      </c>
      <c r="H448" s="14">
        <v>211179</v>
      </c>
      <c r="I448" s="15">
        <f t="shared" si="83"/>
        <v>97386.79999999999</v>
      </c>
      <c r="J448" s="15">
        <f t="shared" si="84"/>
        <v>168943.2</v>
      </c>
      <c r="K448" s="85">
        <f t="shared" si="85"/>
        <v>0</v>
      </c>
      <c r="L448" s="79">
        <v>97386.79999999999</v>
      </c>
      <c r="M448" s="86">
        <f>ROUND(VLOOKUP(B448,גיליון1!A410:B1380,2,0),0)</f>
        <v>211178</v>
      </c>
      <c r="N448" s="108"/>
    </row>
    <row r="449" spans="1:14" ht="15.75">
      <c r="A449">
        <v>445</v>
      </c>
      <c r="B449" s="13">
        <v>580430296</v>
      </c>
      <c r="C449" s="13" t="s">
        <v>185</v>
      </c>
      <c r="D449" s="13" t="s">
        <v>70</v>
      </c>
      <c r="E449" s="6">
        <v>316211.75</v>
      </c>
      <c r="F449" s="6">
        <v>221348</v>
      </c>
      <c r="G449" s="7">
        <f t="shared" si="82"/>
        <v>0.6999992884514886</v>
      </c>
      <c r="H449" s="14">
        <v>313884</v>
      </c>
      <c r="I449" s="15">
        <f t="shared" si="83"/>
        <v>221348.22499999998</v>
      </c>
      <c r="J449" s="15">
        <f t="shared" si="84"/>
        <v>251107.2</v>
      </c>
      <c r="K449" s="85">
        <f t="shared" si="85"/>
        <v>221348</v>
      </c>
      <c r="L449" s="79">
        <v>221348.22499999998</v>
      </c>
      <c r="M449" s="86">
        <f>ROUND(VLOOKUP(B449,גיליון1!A411:B1381,2,0),0)</f>
        <v>313879</v>
      </c>
      <c r="N449" s="108"/>
    </row>
    <row r="450" spans="1:14" ht="15.75">
      <c r="A450" s="3">
        <v>446</v>
      </c>
      <c r="B450" s="12">
        <v>580430643</v>
      </c>
      <c r="C450" s="13" t="s">
        <v>186</v>
      </c>
      <c r="D450" s="17" t="s">
        <v>59</v>
      </c>
      <c r="E450" s="6">
        <v>170086</v>
      </c>
      <c r="F450" s="6">
        <v>119060</v>
      </c>
      <c r="G450" s="7">
        <f t="shared" si="82"/>
        <v>0.6999988241242665</v>
      </c>
      <c r="H450" s="14">
        <v>189354</v>
      </c>
      <c r="I450" s="15">
        <f t="shared" si="83"/>
        <v>119060.2</v>
      </c>
      <c r="J450" s="15">
        <f t="shared" si="84"/>
        <v>151483.2</v>
      </c>
      <c r="K450" s="85">
        <f t="shared" si="85"/>
        <v>119060</v>
      </c>
      <c r="L450" s="79">
        <v>119060.2</v>
      </c>
      <c r="M450" s="86">
        <f>ROUND(VLOOKUP(B450,גיליון1!A412:B1382,2,0),0)</f>
        <v>189353</v>
      </c>
      <c r="N450" s="108"/>
    </row>
    <row r="451" spans="1:14" ht="15.75">
      <c r="A451">
        <v>447</v>
      </c>
      <c r="B451" s="12">
        <v>580431393</v>
      </c>
      <c r="C451" s="13" t="s">
        <v>448</v>
      </c>
      <c r="D451" s="17" t="s">
        <v>59</v>
      </c>
      <c r="E451" s="6">
        <v>267475.5</v>
      </c>
      <c r="F451" s="6">
        <v>133738</v>
      </c>
      <c r="G451" s="7">
        <f t="shared" si="82"/>
        <v>0.5000009346650441</v>
      </c>
      <c r="H451" s="14">
        <v>313028</v>
      </c>
      <c r="I451" s="15">
        <f t="shared" si="83"/>
        <v>187232.84999999998</v>
      </c>
      <c r="J451" s="15">
        <f t="shared" si="84"/>
        <v>250422.40000000002</v>
      </c>
      <c r="K451" s="85">
        <f t="shared" si="85"/>
        <v>187233</v>
      </c>
      <c r="L451" s="79">
        <v>187232.84999999998</v>
      </c>
      <c r="M451" s="86">
        <f>ROUND(VLOOKUP(B451,גיליון1!A413:B1383,2,0),0)</f>
        <v>313027</v>
      </c>
      <c r="N451" s="108"/>
    </row>
    <row r="452" spans="1:14" ht="15.75">
      <c r="A452" s="3">
        <v>448</v>
      </c>
      <c r="B452" s="12">
        <v>580431559</v>
      </c>
      <c r="C452" s="12" t="s">
        <v>635</v>
      </c>
      <c r="D452" s="13" t="s">
        <v>56</v>
      </c>
      <c r="E452" s="6">
        <v>16689</v>
      </c>
      <c r="F452" s="6">
        <v>11682</v>
      </c>
      <c r="G452" s="7">
        <f t="shared" si="82"/>
        <v>0.6999820240877225</v>
      </c>
      <c r="H452" s="14">
        <v>21427</v>
      </c>
      <c r="I452" s="15">
        <f t="shared" si="83"/>
        <v>11682.3</v>
      </c>
      <c r="J452" s="15">
        <f t="shared" si="84"/>
        <v>17141.600000000002</v>
      </c>
      <c r="K452" s="85">
        <f t="shared" si="85"/>
        <v>11682</v>
      </c>
      <c r="L452" s="79">
        <v>11682.3</v>
      </c>
      <c r="M452" s="86">
        <f>ROUND(VLOOKUP(B452,גיליון1!A414:B1384,2,0),0)</f>
        <v>21427</v>
      </c>
      <c r="N452" s="108"/>
    </row>
    <row r="453" spans="1:14" ht="15.75">
      <c r="A453">
        <v>449</v>
      </c>
      <c r="B453" s="12">
        <v>580431898</v>
      </c>
      <c r="C453" s="13" t="s">
        <v>596</v>
      </c>
      <c r="D453" s="17" t="s">
        <v>59</v>
      </c>
      <c r="E453" s="6">
        <v>133906.75</v>
      </c>
      <c r="F453" s="6">
        <v>66953</v>
      </c>
      <c r="G453" s="7">
        <f t="shared" si="82"/>
        <v>0.4999971995437123</v>
      </c>
      <c r="H453" s="14">
        <v>159554</v>
      </c>
      <c r="I453" s="15">
        <f t="shared" si="83"/>
        <v>93734.72499999999</v>
      </c>
      <c r="J453" s="15">
        <f t="shared" si="84"/>
        <v>127643.20000000001</v>
      </c>
      <c r="K453" s="85">
        <f t="shared" si="85"/>
        <v>93735</v>
      </c>
      <c r="L453" s="79">
        <v>66953.375</v>
      </c>
      <c r="M453" s="86">
        <f>ROUND(VLOOKUP(B453,גיליון1!A415:B1385,2,0),0)</f>
        <v>159556</v>
      </c>
      <c r="N453" s="108"/>
    </row>
    <row r="454" spans="1:14" ht="15.75">
      <c r="A454" s="3">
        <v>450</v>
      </c>
      <c r="B454" s="53">
        <v>580431955</v>
      </c>
      <c r="C454" s="55" t="s">
        <v>663</v>
      </c>
      <c r="D454" s="56" t="s">
        <v>59</v>
      </c>
      <c r="E454" s="6">
        <v>110140.5</v>
      </c>
      <c r="F454" s="6">
        <v>55070</v>
      </c>
      <c r="G454" s="7">
        <f t="shared" si="82"/>
        <v>0.4999977301719168</v>
      </c>
      <c r="H454" s="14">
        <v>158508</v>
      </c>
      <c r="I454" s="15">
        <f t="shared" si="83"/>
        <v>77098.34999999999</v>
      </c>
      <c r="J454" s="15">
        <f t="shared" si="84"/>
        <v>126806.40000000001</v>
      </c>
      <c r="K454" s="85">
        <f t="shared" si="85"/>
        <v>77098</v>
      </c>
      <c r="L454" s="79">
        <v>55070.25000000001</v>
      </c>
      <c r="M454" s="86">
        <f>ROUND(VLOOKUP(B454,גיליון1!A416:B1386,2,0),0)</f>
        <v>158509</v>
      </c>
      <c r="N454" s="108"/>
    </row>
    <row r="455" spans="1:14" ht="15">
      <c r="A455">
        <v>451</v>
      </c>
      <c r="B455" s="18">
        <v>580432169</v>
      </c>
      <c r="C455" s="4" t="s">
        <v>449</v>
      </c>
      <c r="D455" s="4" t="s">
        <v>68</v>
      </c>
      <c r="E455" s="6">
        <v>121728</v>
      </c>
      <c r="F455" s="6">
        <v>78363</v>
      </c>
      <c r="G455" s="7">
        <f t="shared" si="82"/>
        <v>0.643754929022082</v>
      </c>
      <c r="H455" s="14">
        <v>97954</v>
      </c>
      <c r="I455" s="15">
        <f t="shared" si="83"/>
        <v>85209.59999999999</v>
      </c>
      <c r="J455" s="15">
        <f t="shared" si="84"/>
        <v>78363.2</v>
      </c>
      <c r="K455" s="85">
        <f t="shared" si="85"/>
        <v>78363</v>
      </c>
      <c r="L455" s="79">
        <v>78363.024</v>
      </c>
      <c r="M455" s="86">
        <f>ROUND(VLOOKUP(B455,גיליון1!A417:B1387,2,0),0)</f>
        <v>97954</v>
      </c>
      <c r="N455" s="108"/>
    </row>
    <row r="456" spans="1:14" ht="15.75">
      <c r="A456" s="3">
        <v>452</v>
      </c>
      <c r="B456" s="12">
        <v>580432755</v>
      </c>
      <c r="C456" s="13" t="s">
        <v>450</v>
      </c>
      <c r="D456" s="17" t="s">
        <v>59</v>
      </c>
      <c r="E456" s="6">
        <v>169557</v>
      </c>
      <c r="F456" s="6">
        <v>84779</v>
      </c>
      <c r="G456" s="7">
        <f t="shared" si="82"/>
        <v>0.5000029488608551</v>
      </c>
      <c r="H456" s="14">
        <v>200927</v>
      </c>
      <c r="I456" s="15">
        <f t="shared" si="83"/>
        <v>118689.9</v>
      </c>
      <c r="J456" s="15">
        <f t="shared" si="84"/>
        <v>160741.6</v>
      </c>
      <c r="K456" s="85">
        <f t="shared" si="85"/>
        <v>118690</v>
      </c>
      <c r="L456" s="79">
        <v>84778.5</v>
      </c>
      <c r="M456" s="86">
        <f>ROUND(VLOOKUP(B456,גיליון1!A418:B1388,2,0),0)</f>
        <v>200929</v>
      </c>
      <c r="N456" s="108"/>
    </row>
    <row r="457" spans="1:14" ht="15.75">
      <c r="A457">
        <v>453</v>
      </c>
      <c r="B457" s="12">
        <v>580433134</v>
      </c>
      <c r="C457" s="13" t="s">
        <v>564</v>
      </c>
      <c r="D457" s="17" t="s">
        <v>59</v>
      </c>
      <c r="E457" s="6">
        <v>46845</v>
      </c>
      <c r="F457" s="6">
        <v>32792</v>
      </c>
      <c r="G457" s="7">
        <f t="shared" si="82"/>
        <v>0.7000106734977052</v>
      </c>
      <c r="H457" s="14">
        <v>79254</v>
      </c>
      <c r="I457" s="15">
        <f t="shared" si="83"/>
        <v>32791.5</v>
      </c>
      <c r="J457" s="15">
        <f t="shared" si="84"/>
        <v>63403.200000000004</v>
      </c>
      <c r="K457" s="85">
        <f t="shared" si="85"/>
        <v>0</v>
      </c>
      <c r="L457" s="79">
        <v>32791.5</v>
      </c>
      <c r="M457" s="86">
        <f>ROUND(VLOOKUP(B457,גיליון1!A419:B1389,2,0),0)</f>
        <v>79254</v>
      </c>
      <c r="N457" s="108"/>
    </row>
    <row r="458" spans="1:14" ht="15.75">
      <c r="A458" s="3">
        <v>454</v>
      </c>
      <c r="B458" s="37">
        <v>580433316</v>
      </c>
      <c r="C458" s="13" t="s">
        <v>381</v>
      </c>
      <c r="D458" s="13" t="s">
        <v>56</v>
      </c>
      <c r="E458" s="6">
        <v>473583.25</v>
      </c>
      <c r="F458" s="6">
        <v>331508</v>
      </c>
      <c r="G458" s="7">
        <f t="shared" si="82"/>
        <v>0.6999994193206791</v>
      </c>
      <c r="H458" s="14">
        <v>604401</v>
      </c>
      <c r="I458" s="15">
        <f t="shared" si="83"/>
        <v>331508.27499999997</v>
      </c>
      <c r="J458" s="15">
        <f t="shared" si="84"/>
        <v>483520.80000000005</v>
      </c>
      <c r="K458" s="85">
        <f t="shared" si="85"/>
        <v>331508</v>
      </c>
      <c r="L458" s="79">
        <v>331508.27499999997</v>
      </c>
      <c r="M458" s="86">
        <f>ROUND(VLOOKUP(B458,גיליון1!A420:B1390,2,0),0)</f>
        <v>604397</v>
      </c>
      <c r="N458" s="108"/>
    </row>
    <row r="459" spans="1:14" s="3" customFormat="1" ht="15.75">
      <c r="A459">
        <v>455</v>
      </c>
      <c r="B459" s="37">
        <v>580433449</v>
      </c>
      <c r="C459" s="13" t="s">
        <v>522</v>
      </c>
      <c r="D459" s="13" t="s">
        <v>59</v>
      </c>
      <c r="E459" s="6">
        <v>55573.600000000006</v>
      </c>
      <c r="F459" s="6">
        <v>38902</v>
      </c>
      <c r="G459" s="7">
        <f t="shared" si="82"/>
        <v>0.7000086371946391</v>
      </c>
      <c r="H459" s="14">
        <v>60228</v>
      </c>
      <c r="I459" s="15">
        <f t="shared" si="83"/>
        <v>38901.520000000004</v>
      </c>
      <c r="J459" s="15">
        <f t="shared" si="84"/>
        <v>48182.4</v>
      </c>
      <c r="K459" s="85">
        <f t="shared" si="85"/>
        <v>0</v>
      </c>
      <c r="L459" s="79">
        <v>38901.520000000004</v>
      </c>
      <c r="M459" s="86">
        <f>ROUND(VLOOKUP(B459,גיליון1!A421:B1391,2,0),0)</f>
        <v>60226</v>
      </c>
      <c r="N459" s="108"/>
    </row>
    <row r="460" spans="1:14" ht="15.75">
      <c r="A460" s="3">
        <v>456</v>
      </c>
      <c r="B460" s="12">
        <v>580433589</v>
      </c>
      <c r="C460" s="12" t="s">
        <v>636</v>
      </c>
      <c r="D460" s="13" t="s">
        <v>56</v>
      </c>
      <c r="E460" s="6">
        <v>55884</v>
      </c>
      <c r="F460" s="6">
        <v>39119</v>
      </c>
      <c r="G460" s="7">
        <f t="shared" si="82"/>
        <v>0.7000035788418868</v>
      </c>
      <c r="H460" s="14">
        <v>166257</v>
      </c>
      <c r="I460" s="15">
        <f t="shared" si="83"/>
        <v>39118.799999999996</v>
      </c>
      <c r="J460" s="15">
        <f t="shared" si="84"/>
        <v>133005.6</v>
      </c>
      <c r="K460" s="85">
        <f t="shared" si="85"/>
        <v>0</v>
      </c>
      <c r="L460" s="79">
        <v>39118.799999999996</v>
      </c>
      <c r="M460" s="86">
        <f>ROUND(VLOOKUP(B460,גיליון1!A422:B1392,2,0),0)</f>
        <v>166257</v>
      </c>
      <c r="N460" s="108"/>
    </row>
    <row r="461" spans="1:14" ht="15.75">
      <c r="A461">
        <v>457</v>
      </c>
      <c r="B461" s="129">
        <v>580434041</v>
      </c>
      <c r="C461" s="130" t="s">
        <v>1098</v>
      </c>
      <c r="D461" s="13"/>
      <c r="E461" s="116"/>
      <c r="F461" s="116"/>
      <c r="G461" s="117"/>
      <c r="H461" s="118">
        <v>63369</v>
      </c>
      <c r="I461" s="15"/>
      <c r="J461" s="15"/>
      <c r="K461" s="110"/>
      <c r="L461" s="79"/>
      <c r="M461" s="86"/>
      <c r="N461" s="108"/>
    </row>
    <row r="462" spans="1:14" ht="15.75">
      <c r="A462" s="3">
        <v>458</v>
      </c>
      <c r="B462" s="12">
        <v>580435014</v>
      </c>
      <c r="C462" s="13" t="s">
        <v>382</v>
      </c>
      <c r="D462" s="13" t="s">
        <v>56</v>
      </c>
      <c r="E462" s="6">
        <v>195666.75</v>
      </c>
      <c r="F462" s="6">
        <v>136967</v>
      </c>
      <c r="G462" s="7">
        <f>F462/E462</f>
        <v>0.7000014054508494</v>
      </c>
      <c r="H462" s="14">
        <v>193433</v>
      </c>
      <c r="I462" s="15">
        <f>E462*$I$2</f>
        <v>136966.725</v>
      </c>
      <c r="J462" s="15">
        <f>H462*$J$2</f>
        <v>154746.4</v>
      </c>
      <c r="K462" s="85">
        <f>ROUND(IF(IF(MIN(I462,J462)&lt;F462,MIN(I462,J462)-F462,MIN(I462,J462))&lt;0,0,IF(MIN(I462,J462)&lt;F462,MIN(I462,J462)-F462,MIN(I462,J462))),0)</f>
        <v>0</v>
      </c>
      <c r="L462" s="79">
        <v>136966.725</v>
      </c>
      <c r="M462" s="86">
        <f>ROUND(VLOOKUP(B462,גיליון1!A423:B1393,2,0),0)</f>
        <v>193429</v>
      </c>
      <c r="N462" s="108"/>
    </row>
    <row r="463" spans="1:14" ht="15.75">
      <c r="A463">
        <v>459</v>
      </c>
      <c r="B463" s="12">
        <v>580435105</v>
      </c>
      <c r="C463" s="12" t="s">
        <v>637</v>
      </c>
      <c r="D463" s="13" t="s">
        <v>56</v>
      </c>
      <c r="E463" s="6">
        <v>143194</v>
      </c>
      <c r="F463" s="6">
        <v>100236</v>
      </c>
      <c r="G463" s="7">
        <f>F463/E463</f>
        <v>0.7000013967065659</v>
      </c>
      <c r="H463" s="14">
        <v>215940</v>
      </c>
      <c r="I463" s="15">
        <f>E463*$I$2</f>
        <v>100235.79999999999</v>
      </c>
      <c r="J463" s="15">
        <f>H463*$J$2</f>
        <v>172752</v>
      </c>
      <c r="K463" s="85">
        <f>ROUND(IF(IF(MIN(I463,J463)&lt;F463,MIN(I463,J463)-F463,MIN(I463,J463))&lt;0,0,IF(MIN(I463,J463)&lt;F463,MIN(I463,J463)-F463,MIN(I463,J463))),0)</f>
        <v>0</v>
      </c>
      <c r="L463" s="79">
        <v>100235.79999999999</v>
      </c>
      <c r="M463" s="86">
        <f>ROUND(VLOOKUP(B463,גיליון1!A424:B1394,2,0),0)</f>
        <v>215942</v>
      </c>
      <c r="N463" s="108"/>
    </row>
    <row r="464" spans="1:14" s="26" customFormat="1" ht="15.75">
      <c r="A464" s="3">
        <v>460</v>
      </c>
      <c r="B464" s="129">
        <v>580435980</v>
      </c>
      <c r="C464" s="130" t="s">
        <v>1099</v>
      </c>
      <c r="D464" s="13"/>
      <c r="E464" s="116"/>
      <c r="F464" s="116"/>
      <c r="G464" s="117"/>
      <c r="H464" s="118">
        <v>166193</v>
      </c>
      <c r="I464" s="15"/>
      <c r="J464" s="15"/>
      <c r="K464" s="110"/>
      <c r="L464" s="79"/>
      <c r="M464" s="86"/>
      <c r="N464" s="108"/>
    </row>
    <row r="465" spans="1:14" ht="15.75">
      <c r="A465">
        <v>461</v>
      </c>
      <c r="B465" s="12">
        <v>580436061</v>
      </c>
      <c r="C465" s="13" t="s">
        <v>597</v>
      </c>
      <c r="D465" s="13" t="s">
        <v>56</v>
      </c>
      <c r="E465" s="6">
        <v>35327</v>
      </c>
      <c r="F465" s="6">
        <v>17664</v>
      </c>
      <c r="G465" s="7">
        <f aca="true" t="shared" si="86" ref="G465:G477">F465/E465</f>
        <v>0.5000141534803408</v>
      </c>
      <c r="H465" s="14">
        <v>39098</v>
      </c>
      <c r="I465" s="15">
        <f aca="true" t="shared" si="87" ref="I465:I477">E465*$I$2</f>
        <v>24728.899999999998</v>
      </c>
      <c r="J465" s="15">
        <f aca="true" t="shared" si="88" ref="J465:J477">H465*$J$2</f>
        <v>31278.4</v>
      </c>
      <c r="K465" s="85">
        <f aca="true" t="shared" si="89" ref="K465:K477">ROUND(IF(IF(MIN(I465,J465)&lt;F465,MIN(I465,J465)-F465,MIN(I465,J465))&lt;0,0,IF(MIN(I465,J465)&lt;F465,MIN(I465,J465)-F465,MIN(I465,J465))),0)</f>
        <v>24729</v>
      </c>
      <c r="L465" s="79">
        <v>17663.5</v>
      </c>
      <c r="M465" s="86">
        <f>ROUND(VLOOKUP(B465,גיליון1!A425:B1395,2,0),0)</f>
        <v>39098</v>
      </c>
      <c r="N465" s="108"/>
    </row>
    <row r="466" spans="1:14" ht="15.75">
      <c r="A466" s="3">
        <v>462</v>
      </c>
      <c r="B466" s="12">
        <v>580438422</v>
      </c>
      <c r="C466" s="13" t="s">
        <v>523</v>
      </c>
      <c r="D466" s="13" t="s">
        <v>56</v>
      </c>
      <c r="E466" s="6">
        <v>139156</v>
      </c>
      <c r="F466" s="6">
        <v>97409</v>
      </c>
      <c r="G466" s="7">
        <f t="shared" si="86"/>
        <v>0.6999985627640921</v>
      </c>
      <c r="H466" s="14">
        <v>163923</v>
      </c>
      <c r="I466" s="15">
        <f t="shared" si="87"/>
        <v>97409.2</v>
      </c>
      <c r="J466" s="15">
        <f t="shared" si="88"/>
        <v>131138.4</v>
      </c>
      <c r="K466" s="85">
        <f t="shared" si="89"/>
        <v>97409</v>
      </c>
      <c r="L466" s="79">
        <v>97409.2</v>
      </c>
      <c r="M466" s="86">
        <f>ROUND(VLOOKUP(B466,גיליון1!A426:B1396,2,0),0)</f>
        <v>163921</v>
      </c>
      <c r="N466" s="108"/>
    </row>
    <row r="467" spans="1:14" ht="15.75">
      <c r="A467">
        <v>463</v>
      </c>
      <c r="B467" s="35">
        <v>580438448</v>
      </c>
      <c r="C467" s="36" t="s">
        <v>187</v>
      </c>
      <c r="D467" s="36" t="s">
        <v>56</v>
      </c>
      <c r="E467" s="6">
        <v>146371.5</v>
      </c>
      <c r="F467" s="6">
        <v>102460</v>
      </c>
      <c r="G467" s="7">
        <f t="shared" si="86"/>
        <v>0.699999658403446</v>
      </c>
      <c r="H467" s="14">
        <v>130500</v>
      </c>
      <c r="I467" s="15">
        <f t="shared" si="87"/>
        <v>102460.04999999999</v>
      </c>
      <c r="J467" s="15">
        <f t="shared" si="88"/>
        <v>104400</v>
      </c>
      <c r="K467" s="85">
        <f t="shared" si="89"/>
        <v>102460</v>
      </c>
      <c r="L467" s="79">
        <v>102460.04999999999</v>
      </c>
      <c r="M467" s="86">
        <f>ROUND(VLOOKUP(B467,גיליון1!A427:B1397,2,0),0)</f>
        <v>130500</v>
      </c>
      <c r="N467" s="108"/>
    </row>
    <row r="468" spans="1:14" ht="15.75">
      <c r="A468" s="3">
        <v>464</v>
      </c>
      <c r="B468" s="12">
        <v>580438745</v>
      </c>
      <c r="C468" s="13" t="s">
        <v>524</v>
      </c>
      <c r="D468" s="13" t="s">
        <v>56</v>
      </c>
      <c r="E468" s="6">
        <f>282840.25+295226</f>
        <v>578066.25</v>
      </c>
      <c r="F468" s="6">
        <v>165632</v>
      </c>
      <c r="G468" s="7">
        <f t="shared" si="86"/>
        <v>0.2865277120053281</v>
      </c>
      <c r="H468" s="14">
        <f>207040+239641</f>
        <v>446681</v>
      </c>
      <c r="I468" s="15">
        <f t="shared" si="87"/>
        <v>404646.375</v>
      </c>
      <c r="J468" s="15">
        <f t="shared" si="88"/>
        <v>357344.80000000005</v>
      </c>
      <c r="K468" s="85">
        <f t="shared" si="89"/>
        <v>357345</v>
      </c>
      <c r="L468" s="79">
        <v>165632</v>
      </c>
      <c r="M468" s="86">
        <f>ROUND(VLOOKUP(B468,גיליון1!A428:B1398,2,0),0)</f>
        <v>207039</v>
      </c>
      <c r="N468" s="108"/>
    </row>
    <row r="469" spans="1:14" ht="15.75">
      <c r="A469">
        <v>465</v>
      </c>
      <c r="B469" s="12">
        <v>580438935</v>
      </c>
      <c r="C469" s="13" t="s">
        <v>525</v>
      </c>
      <c r="D469" s="17" t="s">
        <v>59</v>
      </c>
      <c r="E469" s="50">
        <v>457754.5</v>
      </c>
      <c r="F469" s="6">
        <v>363025</v>
      </c>
      <c r="G469" s="7">
        <f t="shared" si="86"/>
        <v>0.793056103216899</v>
      </c>
      <c r="H469" s="14">
        <f>453781+277939</f>
        <v>731720</v>
      </c>
      <c r="I469" s="15">
        <f t="shared" si="87"/>
        <v>320428.14999999997</v>
      </c>
      <c r="J469" s="15">
        <f t="shared" si="88"/>
        <v>585376</v>
      </c>
      <c r="K469" s="85">
        <f t="shared" si="89"/>
        <v>0</v>
      </c>
      <c r="L469" s="79">
        <v>294341.60000000003</v>
      </c>
      <c r="M469" s="86">
        <f>ROUND(VLOOKUP(B469,גיליון1!A429:B1399,2,0),0)</f>
        <v>451668</v>
      </c>
      <c r="N469" s="108"/>
    </row>
    <row r="470" spans="1:14" ht="15.75">
      <c r="A470" s="3">
        <v>466</v>
      </c>
      <c r="B470" s="38">
        <v>580439354</v>
      </c>
      <c r="C470" s="19" t="s">
        <v>451</v>
      </c>
      <c r="D470" s="19" t="s">
        <v>56</v>
      </c>
      <c r="E470" s="6">
        <v>55634</v>
      </c>
      <c r="F470" s="6">
        <v>37069</v>
      </c>
      <c r="G470" s="7">
        <f t="shared" si="86"/>
        <v>0.6663011827299853</v>
      </c>
      <c r="H470" s="14">
        <v>70154</v>
      </c>
      <c r="I470" s="15">
        <f t="shared" si="87"/>
        <v>38943.799999999996</v>
      </c>
      <c r="J470" s="15">
        <f t="shared" si="88"/>
        <v>56123.200000000004</v>
      </c>
      <c r="K470" s="85">
        <f t="shared" si="89"/>
        <v>38944</v>
      </c>
      <c r="L470" s="79">
        <v>37068.92</v>
      </c>
      <c r="M470" s="86">
        <f>ROUND(VLOOKUP(B470,גיליון1!A431:B1401,2,0),0)</f>
        <v>70155</v>
      </c>
      <c r="N470" s="108"/>
    </row>
    <row r="471" spans="1:14" ht="15.75">
      <c r="A471">
        <v>467</v>
      </c>
      <c r="B471" s="12">
        <v>580439412</v>
      </c>
      <c r="C471" s="13" t="s">
        <v>697</v>
      </c>
      <c r="D471" s="13" t="s">
        <v>56</v>
      </c>
      <c r="E471" s="6">
        <v>125223</v>
      </c>
      <c r="F471" s="6">
        <v>87656</v>
      </c>
      <c r="G471" s="7">
        <f t="shared" si="86"/>
        <v>0.6999992014246584</v>
      </c>
      <c r="H471" s="14">
        <v>180155</v>
      </c>
      <c r="I471" s="15">
        <f t="shared" si="87"/>
        <v>87656.09999999999</v>
      </c>
      <c r="J471" s="15">
        <f t="shared" si="88"/>
        <v>144124</v>
      </c>
      <c r="K471" s="85">
        <f t="shared" si="89"/>
        <v>87656</v>
      </c>
      <c r="L471" s="79">
        <v>87656.09999999999</v>
      </c>
      <c r="M471" s="86">
        <f>ROUND(VLOOKUP(B471,גיליון1!A432:B1402,2,0),0)</f>
        <v>180156</v>
      </c>
      <c r="N471" s="108"/>
    </row>
    <row r="472" spans="1:14" ht="15.75">
      <c r="A472" s="3">
        <v>468</v>
      </c>
      <c r="B472" s="13">
        <v>580439453</v>
      </c>
      <c r="C472" s="13" t="s">
        <v>383</v>
      </c>
      <c r="D472" s="13" t="s">
        <v>64</v>
      </c>
      <c r="E472" s="6">
        <f>265163+268388</f>
        <v>533551</v>
      </c>
      <c r="F472" s="6">
        <v>132582</v>
      </c>
      <c r="G472" s="7">
        <f t="shared" si="86"/>
        <v>0.24848983508605552</v>
      </c>
      <c r="H472" s="14">
        <f>157113+217856</f>
        <v>374969</v>
      </c>
      <c r="I472" s="15">
        <f t="shared" si="87"/>
        <v>373485.69999999995</v>
      </c>
      <c r="J472" s="15">
        <f t="shared" si="88"/>
        <v>299975.2</v>
      </c>
      <c r="K472" s="85">
        <f t="shared" si="89"/>
        <v>299975</v>
      </c>
      <c r="L472" s="79">
        <v>132581.5</v>
      </c>
      <c r="M472" s="86">
        <f>ROUND(VLOOKUP(B472,גיליון1!A433:B1403,2,0),0)</f>
        <v>157112</v>
      </c>
      <c r="N472" s="108"/>
    </row>
    <row r="473" spans="1:14" ht="15.75">
      <c r="A473">
        <v>469</v>
      </c>
      <c r="B473" s="12">
        <v>580439826</v>
      </c>
      <c r="C473" s="13" t="s">
        <v>452</v>
      </c>
      <c r="D473" s="13" t="s">
        <v>56</v>
      </c>
      <c r="E473" s="6">
        <v>12637.5</v>
      </c>
      <c r="F473" s="6">
        <v>6319</v>
      </c>
      <c r="G473" s="7">
        <f t="shared" si="86"/>
        <v>0.5000197823936696</v>
      </c>
      <c r="H473" s="14">
        <v>10847</v>
      </c>
      <c r="I473" s="15">
        <f t="shared" si="87"/>
        <v>8846.25</v>
      </c>
      <c r="J473" s="15">
        <f t="shared" si="88"/>
        <v>8677.6</v>
      </c>
      <c r="K473" s="85">
        <f t="shared" si="89"/>
        <v>8678</v>
      </c>
      <c r="L473" s="79">
        <v>6318.75</v>
      </c>
      <c r="M473" s="86">
        <f>ROUND(VLOOKUP(B473,גיליון1!A434:B1404,2,0),0)</f>
        <v>10847</v>
      </c>
      <c r="N473" s="108"/>
    </row>
    <row r="474" spans="1:14" ht="15.75">
      <c r="A474" s="3">
        <v>470</v>
      </c>
      <c r="B474" s="12">
        <v>580439917</v>
      </c>
      <c r="C474" s="13" t="s">
        <v>526</v>
      </c>
      <c r="D474" s="13" t="s">
        <v>56</v>
      </c>
      <c r="E474" s="6">
        <v>95311</v>
      </c>
      <c r="F474" s="6">
        <v>65078</v>
      </c>
      <c r="G474" s="7">
        <f t="shared" si="86"/>
        <v>0.6827963194174859</v>
      </c>
      <c r="H474" s="14">
        <v>81348</v>
      </c>
      <c r="I474" s="15">
        <f t="shared" si="87"/>
        <v>66717.7</v>
      </c>
      <c r="J474" s="15">
        <f t="shared" si="88"/>
        <v>65078.4</v>
      </c>
      <c r="K474" s="85">
        <f t="shared" si="89"/>
        <v>65078</v>
      </c>
      <c r="L474" s="79">
        <v>65078.4</v>
      </c>
      <c r="M474" s="86">
        <f>ROUND(VLOOKUP(B474,גיליון1!A435:B1405,2,0),0)</f>
        <v>81349</v>
      </c>
      <c r="N474" s="108"/>
    </row>
    <row r="475" spans="1:14" ht="15.75">
      <c r="A475">
        <v>471</v>
      </c>
      <c r="B475" s="12">
        <v>580441921</v>
      </c>
      <c r="C475" s="13" t="s">
        <v>214</v>
      </c>
      <c r="D475" s="13" t="s">
        <v>56</v>
      </c>
      <c r="E475" s="6">
        <v>99745</v>
      </c>
      <c r="F475" s="6">
        <v>50246</v>
      </c>
      <c r="G475" s="7">
        <f t="shared" si="86"/>
        <v>0.5037445485989273</v>
      </c>
      <c r="H475" s="14">
        <v>62808</v>
      </c>
      <c r="I475" s="15">
        <f t="shared" si="87"/>
        <v>69821.5</v>
      </c>
      <c r="J475" s="15">
        <f t="shared" si="88"/>
        <v>50246.4</v>
      </c>
      <c r="K475" s="85">
        <f t="shared" si="89"/>
        <v>50246</v>
      </c>
      <c r="L475" s="79">
        <v>50246.4</v>
      </c>
      <c r="M475" s="86">
        <f>ROUND(VLOOKUP(B475,גיליון1!A436:B1406,2,0),0)</f>
        <v>62806</v>
      </c>
      <c r="N475" s="108"/>
    </row>
    <row r="476" spans="1:14" ht="15.75">
      <c r="A476" s="3">
        <v>472</v>
      </c>
      <c r="B476" s="13">
        <v>580442077</v>
      </c>
      <c r="C476" s="13" t="s">
        <v>188</v>
      </c>
      <c r="D476" s="20" t="s">
        <v>90</v>
      </c>
      <c r="E476" s="6">
        <v>68414.6</v>
      </c>
      <c r="F476" s="6">
        <v>34207</v>
      </c>
      <c r="G476" s="7">
        <f t="shared" si="86"/>
        <v>0.49999561497107337</v>
      </c>
      <c r="H476" s="14">
        <v>79677</v>
      </c>
      <c r="I476" s="15">
        <f t="shared" si="87"/>
        <v>47890.22</v>
      </c>
      <c r="J476" s="15">
        <f t="shared" si="88"/>
        <v>63741.600000000006</v>
      </c>
      <c r="K476" s="85">
        <f t="shared" si="89"/>
        <v>47890</v>
      </c>
      <c r="L476" s="79">
        <v>34207.3</v>
      </c>
      <c r="M476" s="86">
        <f>ROUND(VLOOKUP(B476,גיליון1!A437:B1407,2,0),0)</f>
        <v>79678</v>
      </c>
      <c r="N476" s="108"/>
    </row>
    <row r="477" spans="1:14" ht="15.75">
      <c r="A477">
        <v>473</v>
      </c>
      <c r="B477" s="12">
        <v>580442085</v>
      </c>
      <c r="C477" s="13" t="s">
        <v>189</v>
      </c>
      <c r="D477" s="17" t="s">
        <v>59</v>
      </c>
      <c r="E477" s="6">
        <v>93832</v>
      </c>
      <c r="F477" s="6">
        <v>61622</v>
      </c>
      <c r="G477" s="7">
        <f t="shared" si="86"/>
        <v>0.6567269161906386</v>
      </c>
      <c r="H477" s="14">
        <v>77027</v>
      </c>
      <c r="I477" s="15">
        <f t="shared" si="87"/>
        <v>65682.4</v>
      </c>
      <c r="J477" s="15">
        <f t="shared" si="88"/>
        <v>61621.600000000006</v>
      </c>
      <c r="K477" s="85">
        <f t="shared" si="89"/>
        <v>0</v>
      </c>
      <c r="L477" s="79">
        <v>61621.600000000006</v>
      </c>
      <c r="M477" s="86">
        <f>ROUND(VLOOKUP(B477,גיליון1!A438:B1408,2,0),0)</f>
        <v>77027</v>
      </c>
      <c r="N477" s="108"/>
    </row>
    <row r="478" spans="1:14" ht="15.75">
      <c r="A478" s="3">
        <v>474</v>
      </c>
      <c r="B478" s="121">
        <v>580442309</v>
      </c>
      <c r="C478" s="120" t="s">
        <v>1077</v>
      </c>
      <c r="D478" s="13"/>
      <c r="E478" s="116">
        <v>32156</v>
      </c>
      <c r="F478" s="116">
        <v>16078</v>
      </c>
      <c r="G478" s="117"/>
      <c r="H478" s="118">
        <v>54366</v>
      </c>
      <c r="I478" s="15"/>
      <c r="J478" s="15"/>
      <c r="K478" s="110"/>
      <c r="L478" s="79"/>
      <c r="M478" s="86"/>
      <c r="N478" s="108"/>
    </row>
    <row r="479" spans="1:14" ht="15.75">
      <c r="A479">
        <v>475</v>
      </c>
      <c r="B479" s="12">
        <v>580442549</v>
      </c>
      <c r="C479" s="13" t="s">
        <v>190</v>
      </c>
      <c r="D479" s="17" t="s">
        <v>59</v>
      </c>
      <c r="E479" s="6">
        <v>106065.5</v>
      </c>
      <c r="F479" s="6">
        <v>74246</v>
      </c>
      <c r="G479" s="7">
        <f>F479/E479</f>
        <v>0.7000014142204581</v>
      </c>
      <c r="H479" s="14">
        <v>144541</v>
      </c>
      <c r="I479" s="15">
        <f>E479*$I$2</f>
        <v>74245.84999999999</v>
      </c>
      <c r="J479" s="15">
        <f>H479*$J$2</f>
        <v>115632.8</v>
      </c>
      <c r="K479" s="85">
        <f>ROUND(IF(IF(MIN(I479,J479)&lt;F479,MIN(I479,J479)-F479,MIN(I479,J479))&lt;0,0,IF(MIN(I479,J479)&lt;F479,MIN(I479,J479)-F479,MIN(I479,J479))),0)</f>
        <v>0</v>
      </c>
      <c r="L479" s="79">
        <v>74245.84999999999</v>
      </c>
      <c r="M479" s="86">
        <f>ROUND(VLOOKUP(B479,גיליון1!A439:B1409,2,0),0)</f>
        <v>144543</v>
      </c>
      <c r="N479" s="108"/>
    </row>
    <row r="480" spans="1:14" ht="15.75">
      <c r="A480" s="3">
        <v>476</v>
      </c>
      <c r="B480" s="37">
        <v>580442887</v>
      </c>
      <c r="C480" s="13" t="s">
        <v>191</v>
      </c>
      <c r="D480" s="17" t="s">
        <v>59</v>
      </c>
      <c r="E480" s="6">
        <v>127278.25</v>
      </c>
      <c r="F480" s="6">
        <v>63639</v>
      </c>
      <c r="G480" s="7">
        <f>F480/E480</f>
        <v>0.499999017899759</v>
      </c>
      <c r="H480" s="14">
        <v>169769</v>
      </c>
      <c r="I480" s="15">
        <f>E480*$I$2</f>
        <v>89094.775</v>
      </c>
      <c r="J480" s="15">
        <f>H480*$J$2</f>
        <v>135815.2</v>
      </c>
      <c r="K480" s="85">
        <f>ROUND(IF(IF(MIN(I480,J480)&lt;F480,MIN(I480,J480)-F480,MIN(I480,J480))&lt;0,0,IF(MIN(I480,J480)&lt;F480,MIN(I480,J480)-F480,MIN(I480,J480))),0)</f>
        <v>89095</v>
      </c>
      <c r="L480" s="79">
        <v>63639.125</v>
      </c>
      <c r="M480" s="86">
        <f>ROUND(VLOOKUP(B480,גיליון1!A440:B1410,2,0),0)</f>
        <v>169681</v>
      </c>
      <c r="N480" s="108"/>
    </row>
    <row r="481" spans="1:14" ht="15.75">
      <c r="A481">
        <v>477</v>
      </c>
      <c r="B481" s="129">
        <v>580443372</v>
      </c>
      <c r="C481" s="130" t="s">
        <v>1100</v>
      </c>
      <c r="D481" s="13"/>
      <c r="E481" s="116"/>
      <c r="F481" s="116"/>
      <c r="G481" s="117"/>
      <c r="H481" s="118">
        <v>101404</v>
      </c>
      <c r="I481" s="15"/>
      <c r="J481" s="15"/>
      <c r="K481" s="110"/>
      <c r="L481" s="79"/>
      <c r="M481" s="86"/>
      <c r="N481" s="108"/>
    </row>
    <row r="482" spans="1:14" ht="15.75">
      <c r="A482" s="3">
        <v>478</v>
      </c>
      <c r="B482" s="12">
        <v>580444313</v>
      </c>
      <c r="C482" s="77" t="s">
        <v>721</v>
      </c>
      <c r="D482" s="4" t="s">
        <v>56</v>
      </c>
      <c r="E482" s="6">
        <v>11417</v>
      </c>
      <c r="F482" s="6">
        <v>5709</v>
      </c>
      <c r="G482" s="7">
        <f>F482/E482</f>
        <v>0.500043794341771</v>
      </c>
      <c r="H482" s="14">
        <v>14895</v>
      </c>
      <c r="I482" s="15">
        <f>E482*$I$2</f>
        <v>7991.9</v>
      </c>
      <c r="J482" s="15">
        <f>H482*$J$2</f>
        <v>11916</v>
      </c>
      <c r="K482" s="85">
        <f>ROUND(IF(IF(MIN(I482,J482)&lt;F482,MIN(I482,J482)-F482,MIN(I482,J482))&lt;0,0,IF(MIN(I482,J482)&lt;F482,MIN(I482,J482)-F482,MIN(I482,J482))),0)</f>
        <v>7992</v>
      </c>
      <c r="L482" s="79">
        <v>5708.5</v>
      </c>
      <c r="M482" s="86">
        <f>ROUND(VLOOKUP(B482,גיליון1!A441:B1411,2,0),0)</f>
        <v>14895</v>
      </c>
      <c r="N482" s="108"/>
    </row>
    <row r="483" spans="1:14" ht="15.75">
      <c r="A483">
        <v>479</v>
      </c>
      <c r="B483" s="12">
        <v>580444750</v>
      </c>
      <c r="C483" s="13" t="s">
        <v>291</v>
      </c>
      <c r="D483" s="17" t="s">
        <v>59</v>
      </c>
      <c r="E483" s="6">
        <v>326297.75</v>
      </c>
      <c r="F483" s="6">
        <v>228408</v>
      </c>
      <c r="G483" s="7">
        <f>F483/E483</f>
        <v>0.6999986975086405</v>
      </c>
      <c r="H483" s="14">
        <v>360490</v>
      </c>
      <c r="I483" s="15">
        <f>E483*$I$2</f>
        <v>228408.425</v>
      </c>
      <c r="J483" s="15">
        <f>H483*$J$2</f>
        <v>288392</v>
      </c>
      <c r="K483" s="85">
        <f>ROUND(IF(IF(MIN(I483,J483)&lt;F483,MIN(I483,J483)-F483,MIN(I483,J483))&lt;0,0,IF(MIN(I483,J483)&lt;F483,MIN(I483,J483)-F483,MIN(I483,J483))),0)</f>
        <v>228408</v>
      </c>
      <c r="L483" s="79">
        <v>228408.425</v>
      </c>
      <c r="M483" s="86">
        <f>ROUND(VLOOKUP(B483,גיליון1!A442:B1412,2,0),0)</f>
        <v>360486</v>
      </c>
      <c r="N483" s="108"/>
    </row>
    <row r="484" spans="1:14" ht="15">
      <c r="A484" s="3">
        <v>480</v>
      </c>
      <c r="B484" s="41">
        <v>580444958</v>
      </c>
      <c r="C484" s="42" t="s">
        <v>384</v>
      </c>
      <c r="D484" s="42" t="s">
        <v>68</v>
      </c>
      <c r="E484" s="6">
        <v>350898.5</v>
      </c>
      <c r="F484" s="6">
        <v>171665</v>
      </c>
      <c r="G484" s="7">
        <f>F484/E484</f>
        <v>0.4892155423861886</v>
      </c>
      <c r="H484" s="14">
        <v>171666</v>
      </c>
      <c r="I484" s="15">
        <f>E484*$I$2</f>
        <v>245628.94999999998</v>
      </c>
      <c r="J484" s="15">
        <f>H484*$J$2</f>
        <v>137332.80000000002</v>
      </c>
      <c r="K484" s="85">
        <f>ROUND(IF(IF(MIN(I484,J484)&lt;F484,MIN(I484,J484)-F484,MIN(I484,J484))&lt;0,0,IF(MIN(I484,J484)&lt;F484,MIN(I484,J484)-F484,MIN(I484,J484))),0)</f>
        <v>0</v>
      </c>
      <c r="L484" s="79">
        <v>175449.25</v>
      </c>
      <c r="M484" s="86">
        <f>ROUND(VLOOKUP(B484,גיליון1!A443:B1413,2,0),0)</f>
        <v>171666</v>
      </c>
      <c r="N484" s="108"/>
    </row>
    <row r="485" spans="1:14" ht="15.75">
      <c r="A485">
        <v>481</v>
      </c>
      <c r="B485" s="121">
        <v>580445070</v>
      </c>
      <c r="C485" s="120" t="s">
        <v>970</v>
      </c>
      <c r="D485" s="13"/>
      <c r="E485" s="116">
        <v>61124</v>
      </c>
      <c r="F485" s="116">
        <v>30562</v>
      </c>
      <c r="G485" s="117"/>
      <c r="H485" s="118">
        <v>77239</v>
      </c>
      <c r="I485" s="15"/>
      <c r="J485" s="15"/>
      <c r="K485" s="110"/>
      <c r="L485" s="79"/>
      <c r="M485" s="86"/>
      <c r="N485" s="108"/>
    </row>
    <row r="486" spans="1:14" ht="15">
      <c r="A486" s="3">
        <v>482</v>
      </c>
      <c r="B486" s="31">
        <v>580445229</v>
      </c>
      <c r="C486" s="4" t="s">
        <v>192</v>
      </c>
      <c r="D486" s="4" t="s">
        <v>68</v>
      </c>
      <c r="E486" s="6">
        <v>46752.75</v>
      </c>
      <c r="F486" s="6">
        <v>32727</v>
      </c>
      <c r="G486" s="7">
        <f>F486/E486</f>
        <v>0.7000016041837112</v>
      </c>
      <c r="H486" s="14">
        <v>47308</v>
      </c>
      <c r="I486" s="15">
        <f>E486*$I$2</f>
        <v>32726.925</v>
      </c>
      <c r="J486" s="15">
        <f>H486*$J$2</f>
        <v>37846.4</v>
      </c>
      <c r="K486" s="85">
        <f>ROUND(IF(IF(MIN(I486,J486)&lt;F486,MIN(I486,J486)-F486,MIN(I486,J486))&lt;0,0,IF(MIN(I486,J486)&lt;F486,MIN(I486,J486)-F486,MIN(I486,J486))),0)</f>
        <v>0</v>
      </c>
      <c r="L486" s="79">
        <v>32726.925</v>
      </c>
      <c r="M486" s="86">
        <f>ROUND(VLOOKUP(B486,גיליון1!A444:B1414,2,0),0)</f>
        <v>47308</v>
      </c>
      <c r="N486" s="108"/>
    </row>
    <row r="487" spans="1:14" ht="15.75">
      <c r="A487">
        <v>483</v>
      </c>
      <c r="B487" s="12">
        <v>580445989</v>
      </c>
      <c r="C487" s="13" t="s">
        <v>527</v>
      </c>
      <c r="D487" s="17" t="s">
        <v>59</v>
      </c>
      <c r="E487" s="6">
        <v>179180</v>
      </c>
      <c r="F487" s="6">
        <v>89590</v>
      </c>
      <c r="G487" s="7">
        <f>F487/E487</f>
        <v>0.5</v>
      </c>
      <c r="H487" s="14">
        <v>198533</v>
      </c>
      <c r="I487" s="15">
        <f>E487*$I$2</f>
        <v>125425.99999999999</v>
      </c>
      <c r="J487" s="15">
        <f>H487*$J$2</f>
        <v>158826.40000000002</v>
      </c>
      <c r="K487" s="85">
        <f>ROUND(IF(IF(MIN(I487,J487)&lt;F487,MIN(I487,J487)-F487,MIN(I487,J487))&lt;0,0,IF(MIN(I487,J487)&lt;F487,MIN(I487,J487)-F487,MIN(I487,J487))),0)</f>
        <v>125426</v>
      </c>
      <c r="L487" s="79">
        <v>89590</v>
      </c>
      <c r="M487" s="86">
        <f>ROUND(VLOOKUP(B487,גיליון1!A445:B1415,2,0),0)</f>
        <v>236946</v>
      </c>
      <c r="N487" s="108"/>
    </row>
    <row r="488" spans="1:14" ht="15.75">
      <c r="A488" s="3">
        <v>484</v>
      </c>
      <c r="B488" s="13">
        <v>580446151</v>
      </c>
      <c r="C488" s="13" t="s">
        <v>698</v>
      </c>
      <c r="D488" s="13" t="s">
        <v>70</v>
      </c>
      <c r="E488" s="6">
        <v>13688</v>
      </c>
      <c r="F488" s="6">
        <v>5475</v>
      </c>
      <c r="G488" s="7">
        <f>F488/E488</f>
        <v>0.3999853886616014</v>
      </c>
      <c r="H488" s="14">
        <v>11090</v>
      </c>
      <c r="I488" s="15">
        <f>E488*$I$2</f>
        <v>9581.599999999999</v>
      </c>
      <c r="J488" s="15">
        <f>H488*$J$2</f>
        <v>8872</v>
      </c>
      <c r="K488" s="85">
        <f>ROUND(IF(IF(MIN(I488,J488)&lt;F488,MIN(I488,J488)-F488,MIN(I488,J488))&lt;0,0,IF(MIN(I488,J488)&lt;F488,MIN(I488,J488)-F488,MIN(I488,J488))),0)</f>
        <v>8872</v>
      </c>
      <c r="L488" s="79">
        <v>5475.200000000001</v>
      </c>
      <c r="M488" s="86">
        <f>ROUND(VLOOKUP(B488,גיליון1!A446:B1416,2,0),0)</f>
        <v>11090</v>
      </c>
      <c r="N488" s="108"/>
    </row>
    <row r="489" spans="1:14" ht="15.75">
      <c r="A489">
        <v>485</v>
      </c>
      <c r="B489" s="37">
        <v>580447134</v>
      </c>
      <c r="C489" s="13" t="s">
        <v>453</v>
      </c>
      <c r="D489" s="17" t="s">
        <v>59</v>
      </c>
      <c r="E489" s="6">
        <v>46845.25</v>
      </c>
      <c r="F489" s="6">
        <v>18738</v>
      </c>
      <c r="G489" s="7">
        <f>F489/E489</f>
        <v>0.3999978653118513</v>
      </c>
      <c r="H489" s="14">
        <v>118881</v>
      </c>
      <c r="I489" s="15">
        <f>E489*$I$2</f>
        <v>32791.674999999996</v>
      </c>
      <c r="J489" s="15">
        <f>H489*$J$2</f>
        <v>95104.8</v>
      </c>
      <c r="K489" s="85">
        <f>ROUND(IF(IF(MIN(I489,J489)&lt;F489,MIN(I489,J489)-F489,MIN(I489,J489))&lt;0,0,IF(MIN(I489,J489)&lt;F489,MIN(I489,J489)-F489,MIN(I489,J489))),0)</f>
        <v>32792</v>
      </c>
      <c r="L489" s="79">
        <v>18738.1</v>
      </c>
      <c r="M489" s="86">
        <f>ROUND(VLOOKUP(B489,גיליון1!A448:B1418,2,0),0)</f>
        <v>118882</v>
      </c>
      <c r="N489" s="108"/>
    </row>
    <row r="490" spans="1:14" ht="15.75">
      <c r="A490" s="3">
        <v>486</v>
      </c>
      <c r="B490" s="119">
        <v>580447258</v>
      </c>
      <c r="C490" s="45" t="s">
        <v>1078</v>
      </c>
      <c r="D490" s="13"/>
      <c r="E490" s="116">
        <v>42759</v>
      </c>
      <c r="F490" s="116">
        <v>21380</v>
      </c>
      <c r="G490" s="117"/>
      <c r="H490" s="118">
        <v>35168</v>
      </c>
      <c r="I490" s="15"/>
      <c r="J490" s="15"/>
      <c r="K490" s="110"/>
      <c r="L490" s="79"/>
      <c r="M490" s="86"/>
      <c r="N490" s="108"/>
    </row>
    <row r="491" spans="1:14" ht="15.75">
      <c r="A491">
        <v>487</v>
      </c>
      <c r="B491" s="12">
        <v>580447423</v>
      </c>
      <c r="C491" s="13" t="s">
        <v>454</v>
      </c>
      <c r="D491" s="17" t="s">
        <v>59</v>
      </c>
      <c r="E491" s="6">
        <v>101498.25</v>
      </c>
      <c r="F491" s="6">
        <v>40599</v>
      </c>
      <c r="G491" s="7">
        <f>F491/E491</f>
        <v>0.3999970442840147</v>
      </c>
      <c r="H491" s="14">
        <v>120281</v>
      </c>
      <c r="I491" s="15">
        <f>E491*$I$2</f>
        <v>71048.775</v>
      </c>
      <c r="J491" s="15">
        <f>H491*$J$2</f>
        <v>96224.8</v>
      </c>
      <c r="K491" s="85">
        <f>ROUND(IF(IF(MIN(I491,J491)&lt;F491,MIN(I491,J491)-F491,MIN(I491,J491))&lt;0,0,IF(MIN(I491,J491)&lt;F491,MIN(I491,J491)-F491,MIN(I491,J491))),0)</f>
        <v>71049</v>
      </c>
      <c r="L491" s="79">
        <v>40599.3</v>
      </c>
      <c r="M491" s="86">
        <f>ROUND(VLOOKUP(B491,גיליון1!A449:B1419,2,0),0)</f>
        <v>120278</v>
      </c>
      <c r="N491" s="108"/>
    </row>
    <row r="492" spans="1:14" ht="15.75">
      <c r="A492" s="3">
        <v>488</v>
      </c>
      <c r="B492" s="12">
        <v>580447928</v>
      </c>
      <c r="C492" s="13" t="s">
        <v>292</v>
      </c>
      <c r="D492" s="17" t="s">
        <v>59</v>
      </c>
      <c r="E492" s="6">
        <f>278420.75+322065</f>
        <v>600485.75</v>
      </c>
      <c r="F492" s="6">
        <v>157253</v>
      </c>
      <c r="G492" s="7">
        <f>F492/E492</f>
        <v>0.2618763226271398</v>
      </c>
      <c r="H492" s="14">
        <f>196566+217856</f>
        <v>414422</v>
      </c>
      <c r="I492" s="15">
        <f>E492*$I$2</f>
        <v>420340.02499999997</v>
      </c>
      <c r="J492" s="15">
        <f>H492*$J$2</f>
        <v>331537.60000000003</v>
      </c>
      <c r="K492" s="85">
        <f>ROUND(IF(IF(MIN(I492,J492)&lt;F492,MIN(I492,J492)-F492,MIN(I492,J492))&lt;0,0,IF(MIN(I492,J492)&lt;F492,MIN(I492,J492)-F492,MIN(I492,J492))),0)</f>
        <v>331538</v>
      </c>
      <c r="L492" s="79">
        <v>157252.80000000002</v>
      </c>
      <c r="M492" s="86">
        <f>ROUND(VLOOKUP(B492,גיליון1!A450:B1420,2,0),0)</f>
        <v>196565</v>
      </c>
      <c r="N492" s="108"/>
    </row>
    <row r="493" spans="1:14" ht="15.75">
      <c r="A493">
        <v>489</v>
      </c>
      <c r="B493" s="12">
        <v>580448397</v>
      </c>
      <c r="C493" s="77" t="s">
        <v>722</v>
      </c>
      <c r="D493" s="4" t="s">
        <v>56</v>
      </c>
      <c r="E493" s="6">
        <v>12637</v>
      </c>
      <c r="F493" s="6">
        <v>6319</v>
      </c>
      <c r="G493" s="7">
        <f>F493/E493</f>
        <v>0.5000395663527736</v>
      </c>
      <c r="H493" s="14">
        <v>10847</v>
      </c>
      <c r="I493" s="15">
        <f>E493*$I$2</f>
        <v>8845.9</v>
      </c>
      <c r="J493" s="15">
        <f>H493*$J$2</f>
        <v>8677.6</v>
      </c>
      <c r="K493" s="85">
        <f>ROUND(IF(IF(MIN(I493,J493)&lt;F493,MIN(I493,J493)-F493,MIN(I493,J493))&lt;0,0,IF(MIN(I493,J493)&lt;F493,MIN(I493,J493)-F493,MIN(I493,J493))),0)</f>
        <v>8678</v>
      </c>
      <c r="L493" s="79">
        <v>6318.5</v>
      </c>
      <c r="M493" s="86">
        <f>ROUND(VLOOKUP(B493,גיליון1!A451:B1421,2,0),0)</f>
        <v>10847</v>
      </c>
      <c r="N493" s="108"/>
    </row>
    <row r="494" spans="1:14" ht="15.75">
      <c r="A494" s="3">
        <v>490</v>
      </c>
      <c r="B494" s="37">
        <v>580448561</v>
      </c>
      <c r="C494" s="13" t="s">
        <v>385</v>
      </c>
      <c r="D494" s="13" t="s">
        <v>56</v>
      </c>
      <c r="E494" s="6">
        <v>28137.25</v>
      </c>
      <c r="F494" s="6">
        <v>19696</v>
      </c>
      <c r="G494" s="7">
        <f>F494/E494</f>
        <v>0.6999973344943091</v>
      </c>
      <c r="H494" s="14">
        <v>32819</v>
      </c>
      <c r="I494" s="15">
        <f>E494*$I$2</f>
        <v>19696.074999999997</v>
      </c>
      <c r="J494" s="15">
        <f>H494*$J$2</f>
        <v>26255.2</v>
      </c>
      <c r="K494" s="85">
        <f>ROUND(IF(IF(MIN(I494,J494)&lt;F494,MIN(I494,J494)-F494,MIN(I494,J494))&lt;0,0,IF(MIN(I494,J494)&lt;F494,MIN(I494,J494)-F494,MIN(I494,J494))),0)</f>
        <v>19696</v>
      </c>
      <c r="L494" s="79">
        <v>19696.074999999997</v>
      </c>
      <c r="M494" s="86">
        <f>ROUND(VLOOKUP(B494,גיליון1!A452:B1422,2,0),0)</f>
        <v>32819</v>
      </c>
      <c r="N494" s="108"/>
    </row>
    <row r="495" spans="1:14" ht="15.75">
      <c r="A495">
        <v>491</v>
      </c>
      <c r="B495" s="13">
        <v>580449437</v>
      </c>
      <c r="C495" s="13" t="s">
        <v>193</v>
      </c>
      <c r="D495" s="13" t="s">
        <v>64</v>
      </c>
      <c r="E495" s="6">
        <v>83855.44859673771</v>
      </c>
      <c r="F495" s="6">
        <v>23964</v>
      </c>
      <c r="G495" s="7">
        <f>F495/E495</f>
        <v>0.2857774944982202</v>
      </c>
      <c r="H495" s="14">
        <v>23964</v>
      </c>
      <c r="I495" s="15">
        <f>E495*$I$2</f>
        <v>58698.814017716395</v>
      </c>
      <c r="J495" s="15">
        <f>H495*$J$2</f>
        <v>19171.2</v>
      </c>
      <c r="K495" s="85">
        <f>ROUND(IF(IF(MIN(I495,J495)&lt;F495,MIN(I495,J495)-F495,MIN(I495,J495))&lt;0,0,IF(MIN(I495,J495)&lt;F495,MIN(I495,J495)-F495,MIN(I495,J495))),0)</f>
        <v>0</v>
      </c>
      <c r="L495" s="79">
        <v>41927.724298368856</v>
      </c>
      <c r="M495" s="86">
        <f>ROUND(VLOOKUP(B495,גיליון1!A453:B1423,2,0),0)</f>
        <v>23964</v>
      </c>
      <c r="N495" s="108"/>
    </row>
    <row r="496" spans="1:14" ht="15.75">
      <c r="A496" s="3">
        <v>492</v>
      </c>
      <c r="B496" s="121">
        <v>580449577</v>
      </c>
      <c r="C496" s="120" t="s">
        <v>1079</v>
      </c>
      <c r="D496" s="13"/>
      <c r="E496" s="116">
        <v>77613</v>
      </c>
      <c r="F496" s="116">
        <v>56211</v>
      </c>
      <c r="G496" s="117"/>
      <c r="H496" s="118">
        <v>112422</v>
      </c>
      <c r="I496" s="15"/>
      <c r="J496" s="15"/>
      <c r="K496" s="110"/>
      <c r="L496" s="79"/>
      <c r="M496" s="86"/>
      <c r="N496" s="108"/>
    </row>
    <row r="497" spans="1:14" ht="15.75">
      <c r="A497">
        <v>493</v>
      </c>
      <c r="B497" s="12">
        <v>580450666</v>
      </c>
      <c r="C497" s="13" t="s">
        <v>455</v>
      </c>
      <c r="D497" s="17" t="s">
        <v>59</v>
      </c>
      <c r="E497" s="6">
        <v>204589.5</v>
      </c>
      <c r="F497" s="6">
        <v>143213</v>
      </c>
      <c r="G497" s="7">
        <f>F497/E497</f>
        <v>0.7000017107427312</v>
      </c>
      <c r="H497" s="14">
        <v>224609</v>
      </c>
      <c r="I497" s="15">
        <f>E497*$I$2</f>
        <v>143212.65</v>
      </c>
      <c r="J497" s="15">
        <f>H497*$J$2</f>
        <v>179687.2</v>
      </c>
      <c r="K497" s="85">
        <f>ROUND(IF(IF(MIN(I497,J497)&lt;F497,MIN(I497,J497)-F497,MIN(I497,J497))&lt;0,0,IF(MIN(I497,J497)&lt;F497,MIN(I497,J497)-F497,MIN(I497,J497))),0)</f>
        <v>0</v>
      </c>
      <c r="L497" s="79">
        <v>143212.65</v>
      </c>
      <c r="M497" s="86">
        <f>ROUND(VLOOKUP(B497,גיליון1!A454:B1424,2,0),0)</f>
        <v>224609</v>
      </c>
      <c r="N497" s="108"/>
    </row>
    <row r="498" spans="1:14" ht="15.75">
      <c r="A498" s="3">
        <v>494</v>
      </c>
      <c r="B498" s="12">
        <v>580451318</v>
      </c>
      <c r="C498" s="13" t="s">
        <v>386</v>
      </c>
      <c r="D498" s="17" t="s">
        <v>59</v>
      </c>
      <c r="E498" s="6">
        <v>32785.25</v>
      </c>
      <c r="F498" s="6">
        <v>22950</v>
      </c>
      <c r="G498" s="7">
        <f>F498/E498</f>
        <v>0.7000099129944106</v>
      </c>
      <c r="H498" s="14">
        <v>40498</v>
      </c>
      <c r="I498" s="15">
        <f>E498*$I$2</f>
        <v>22949.675</v>
      </c>
      <c r="J498" s="15">
        <f>H498*$J$2</f>
        <v>32398.4</v>
      </c>
      <c r="K498" s="85">
        <f>ROUND(IF(IF(MIN(I498,J498)&lt;F498,MIN(I498,J498)-F498,MIN(I498,J498))&lt;0,0,IF(MIN(I498,J498)&lt;F498,MIN(I498,J498)-F498,MIN(I498,J498))),0)</f>
        <v>0</v>
      </c>
      <c r="L498" s="79">
        <v>22949.675</v>
      </c>
      <c r="M498" s="86">
        <f>ROUND(VLOOKUP(B498,גיליון1!A455:B1425,2,0),0)</f>
        <v>40498</v>
      </c>
      <c r="N498" s="108"/>
    </row>
    <row r="499" spans="1:14" ht="15.75">
      <c r="A499">
        <v>495</v>
      </c>
      <c r="B499" s="12">
        <v>580452233</v>
      </c>
      <c r="C499" s="13" t="s">
        <v>456</v>
      </c>
      <c r="D499" s="13" t="s">
        <v>56</v>
      </c>
      <c r="E499" s="6">
        <v>115346.25</v>
      </c>
      <c r="F499" s="6">
        <v>80742</v>
      </c>
      <c r="G499" s="7">
        <f>F499/E499</f>
        <v>0.6999967489190155</v>
      </c>
      <c r="H499" s="14">
        <v>136691</v>
      </c>
      <c r="I499" s="15">
        <f>E499*$I$2</f>
        <v>80742.375</v>
      </c>
      <c r="J499" s="15">
        <f>H499*$J$2</f>
        <v>109352.8</v>
      </c>
      <c r="K499" s="85">
        <f>ROUND(IF(IF(MIN(I499,J499)&lt;F499,MIN(I499,J499)-F499,MIN(I499,J499))&lt;0,0,IF(MIN(I499,J499)&lt;F499,MIN(I499,J499)-F499,MIN(I499,J499))),0)</f>
        <v>80742</v>
      </c>
      <c r="L499" s="79">
        <v>80742.375</v>
      </c>
      <c r="M499" s="86">
        <f>ROUND(VLOOKUP(B499,גיליון1!A456:B1426,2,0),0)</f>
        <v>136688</v>
      </c>
      <c r="N499" s="108"/>
    </row>
    <row r="500" spans="1:14" ht="15.75">
      <c r="A500" s="3">
        <v>496</v>
      </c>
      <c r="B500" s="12">
        <v>580453850</v>
      </c>
      <c r="C500" s="12" t="s">
        <v>639</v>
      </c>
      <c r="D500" s="13" t="s">
        <v>59</v>
      </c>
      <c r="E500" s="6">
        <v>40561</v>
      </c>
      <c r="F500" s="6">
        <v>16224</v>
      </c>
      <c r="G500" s="7">
        <f>F500/E500</f>
        <v>0.3999901383101995</v>
      </c>
      <c r="H500" s="14">
        <v>39437</v>
      </c>
      <c r="I500" s="15">
        <f>E500*$I$2</f>
        <v>28392.699999999997</v>
      </c>
      <c r="J500" s="15">
        <f>H500*$J$2</f>
        <v>31549.600000000002</v>
      </c>
      <c r="K500" s="85">
        <f>ROUND(IF(IF(MIN(I500,J500)&lt;F500,MIN(I500,J500)-F500,MIN(I500,J500))&lt;0,0,IF(MIN(I500,J500)&lt;F500,MIN(I500,J500)-F500,MIN(I500,J500))),0)</f>
        <v>28393</v>
      </c>
      <c r="L500" s="79">
        <v>16224.400000000001</v>
      </c>
      <c r="M500" s="86">
        <f>ROUND(VLOOKUP(B500,גיליון1!A457:B1427,2,0),0)</f>
        <v>39437</v>
      </c>
      <c r="N500" s="108"/>
    </row>
    <row r="501" spans="1:14" ht="15.75">
      <c r="A501">
        <v>497</v>
      </c>
      <c r="B501" s="12">
        <v>580454817</v>
      </c>
      <c r="C501" s="13" t="s">
        <v>387</v>
      </c>
      <c r="D501" s="17" t="s">
        <v>59</v>
      </c>
      <c r="E501" s="6">
        <v>83130</v>
      </c>
      <c r="F501" s="6">
        <v>58191</v>
      </c>
      <c r="G501" s="7">
        <f>F501/E501</f>
        <v>0.7</v>
      </c>
      <c r="H501" s="14">
        <v>119579</v>
      </c>
      <c r="I501" s="15">
        <f>E501*$I$2</f>
        <v>58190.99999999999</v>
      </c>
      <c r="J501" s="15">
        <f>H501*$J$2</f>
        <v>95663.20000000001</v>
      </c>
      <c r="K501" s="85">
        <f>ROUND(IF(IF(MIN(I501,J501)&lt;F501,MIN(I501,J501)-F501,MIN(I501,J501))&lt;0,0,IF(MIN(I501,J501)&lt;F501,MIN(I501,J501)-F501,MIN(I501,J501))),0)</f>
        <v>58191</v>
      </c>
      <c r="L501" s="79">
        <v>58190.99999999999</v>
      </c>
      <c r="M501" s="86">
        <f>ROUND(VLOOKUP(B501,גיליון1!A458:B1428,2,0),0)</f>
        <v>119580</v>
      </c>
      <c r="N501" s="108"/>
    </row>
    <row r="502" spans="1:14" ht="15.75">
      <c r="A502" s="3">
        <v>498</v>
      </c>
      <c r="B502" s="125">
        <v>580454932</v>
      </c>
      <c r="C502" s="124" t="s">
        <v>1080</v>
      </c>
      <c r="D502" s="13"/>
      <c r="E502" s="116">
        <v>22930</v>
      </c>
      <c r="F502" s="116">
        <v>6427</v>
      </c>
      <c r="G502" s="117"/>
      <c r="H502" s="118">
        <v>18959</v>
      </c>
      <c r="I502" s="15"/>
      <c r="J502" s="15"/>
      <c r="K502" s="110"/>
      <c r="L502" s="79"/>
      <c r="M502" s="86"/>
      <c r="N502" s="108"/>
    </row>
    <row r="503" spans="1:14" ht="15">
      <c r="A503">
        <v>499</v>
      </c>
      <c r="B503" s="18">
        <v>580455517</v>
      </c>
      <c r="C503" s="4" t="s">
        <v>737</v>
      </c>
      <c r="D503" s="4" t="s">
        <v>68</v>
      </c>
      <c r="E503" s="6">
        <v>3836</v>
      </c>
      <c r="F503" s="6">
        <v>2118</v>
      </c>
      <c r="G503" s="7">
        <f aca="true" t="shared" si="90" ref="G503:G510">F503/E503</f>
        <v>0.5521376433785193</v>
      </c>
      <c r="H503" s="14">
        <v>2648</v>
      </c>
      <c r="I503" s="15">
        <f aca="true" t="shared" si="91" ref="I503:I510">E503*$I$2</f>
        <v>2685.2</v>
      </c>
      <c r="J503" s="15">
        <f aca="true" t="shared" si="92" ref="J503:J510">H503*$J$2</f>
        <v>2118.4</v>
      </c>
      <c r="K503" s="85">
        <f aca="true" t="shared" si="93" ref="K503:K510">ROUND(IF(IF(MIN(I503,J503)&lt;F503,MIN(I503,J503)-F503,MIN(I503,J503))&lt;0,0,IF(MIN(I503,J503)&lt;F503,MIN(I503,J503)-F503,MIN(I503,J503))),0)</f>
        <v>2118</v>
      </c>
      <c r="L503" s="79">
        <v>2118.44</v>
      </c>
      <c r="M503" s="86">
        <f>ROUND(VLOOKUP(B503,גיליון1!A459:B1429,2,0),0)</f>
        <v>2635</v>
      </c>
      <c r="N503" s="108"/>
    </row>
    <row r="504" spans="1:14" ht="15.75">
      <c r="A504" s="3">
        <v>500</v>
      </c>
      <c r="B504" s="12">
        <v>580455806</v>
      </c>
      <c r="C504" s="13" t="s">
        <v>293</v>
      </c>
      <c r="D504" s="17" t="s">
        <v>59</v>
      </c>
      <c r="E504" s="6">
        <v>57574</v>
      </c>
      <c r="F504" s="6">
        <v>28787</v>
      </c>
      <c r="G504" s="7">
        <f t="shared" si="90"/>
        <v>0.5</v>
      </c>
      <c r="H504" s="14">
        <v>60357</v>
      </c>
      <c r="I504" s="15">
        <f t="shared" si="91"/>
        <v>40301.799999999996</v>
      </c>
      <c r="J504" s="15">
        <f t="shared" si="92"/>
        <v>48285.600000000006</v>
      </c>
      <c r="K504" s="85">
        <f t="shared" si="93"/>
        <v>40302</v>
      </c>
      <c r="L504" s="79">
        <v>28787</v>
      </c>
      <c r="M504" s="86">
        <f>ROUND(VLOOKUP(B504,גיליון1!A460:B1430,2,0),0)</f>
        <v>60356</v>
      </c>
      <c r="N504" s="108"/>
    </row>
    <row r="505" spans="1:14" ht="15.75">
      <c r="A505">
        <v>501</v>
      </c>
      <c r="B505" s="12">
        <v>580455947</v>
      </c>
      <c r="C505" s="13" t="s">
        <v>194</v>
      </c>
      <c r="D505" s="13" t="s">
        <v>56</v>
      </c>
      <c r="E505" s="6">
        <v>129567.25</v>
      </c>
      <c r="F505" s="6">
        <v>90697</v>
      </c>
      <c r="G505" s="7">
        <f t="shared" si="90"/>
        <v>0.6999994211500206</v>
      </c>
      <c r="H505" s="14">
        <v>116578</v>
      </c>
      <c r="I505" s="15">
        <f t="shared" si="91"/>
        <v>90697.075</v>
      </c>
      <c r="J505" s="15">
        <f t="shared" si="92"/>
        <v>93262.40000000001</v>
      </c>
      <c r="K505" s="85">
        <f t="shared" si="93"/>
        <v>90697</v>
      </c>
      <c r="L505" s="79">
        <v>90697.075</v>
      </c>
      <c r="M505" s="86">
        <f>ROUND(VLOOKUP(B505,גיליון1!A461:B1431,2,0),0)</f>
        <v>116578</v>
      </c>
      <c r="N505" s="108"/>
    </row>
    <row r="506" spans="1:14" ht="15.75">
      <c r="A506" s="3">
        <v>502</v>
      </c>
      <c r="B506" s="37">
        <v>580456325</v>
      </c>
      <c r="C506" s="13" t="s">
        <v>294</v>
      </c>
      <c r="D506" s="13" t="s">
        <v>56</v>
      </c>
      <c r="E506" s="6">
        <v>270466</v>
      </c>
      <c r="F506" s="6">
        <v>189326</v>
      </c>
      <c r="G506" s="7">
        <f t="shared" si="90"/>
        <v>0.6999992605355202</v>
      </c>
      <c r="H506" s="14">
        <v>250155</v>
      </c>
      <c r="I506" s="15">
        <f t="shared" si="91"/>
        <v>189326.19999999998</v>
      </c>
      <c r="J506" s="15">
        <f t="shared" si="92"/>
        <v>200124</v>
      </c>
      <c r="K506" s="85">
        <f t="shared" si="93"/>
        <v>189326</v>
      </c>
      <c r="L506" s="79">
        <v>189326.19999999998</v>
      </c>
      <c r="M506" s="86">
        <f>ROUND(VLOOKUP(B506,גיליון1!A462:B1432,2,0),0)</f>
        <v>250158</v>
      </c>
      <c r="N506" s="108"/>
    </row>
    <row r="507" spans="1:14" ht="15.75">
      <c r="A507">
        <v>503</v>
      </c>
      <c r="B507" s="12">
        <v>580458131</v>
      </c>
      <c r="C507" s="13" t="s">
        <v>528</v>
      </c>
      <c r="D507" s="17" t="s">
        <v>59</v>
      </c>
      <c r="E507" s="6">
        <v>196304</v>
      </c>
      <c r="F507" s="6">
        <v>78522</v>
      </c>
      <c r="G507" s="7">
        <f t="shared" si="90"/>
        <v>0.40000203765588066</v>
      </c>
      <c r="H507" s="14">
        <v>219716</v>
      </c>
      <c r="I507" s="15">
        <f t="shared" si="91"/>
        <v>137412.8</v>
      </c>
      <c r="J507" s="15">
        <f t="shared" si="92"/>
        <v>175772.80000000002</v>
      </c>
      <c r="K507" s="85">
        <f t="shared" si="93"/>
        <v>137413</v>
      </c>
      <c r="L507" s="79">
        <v>78521.6</v>
      </c>
      <c r="M507" s="86">
        <f>ROUND(VLOOKUP(B507,גיליון1!A463:B1433,2,0),0)</f>
        <v>219709</v>
      </c>
      <c r="N507" s="108"/>
    </row>
    <row r="508" spans="1:14" ht="15.75">
      <c r="A508" s="3">
        <v>504</v>
      </c>
      <c r="B508" s="12">
        <v>580458859</v>
      </c>
      <c r="C508" s="13" t="s">
        <v>598</v>
      </c>
      <c r="D508" s="13" t="s">
        <v>90</v>
      </c>
      <c r="E508" s="6">
        <v>287445.25</v>
      </c>
      <c r="F508" s="6">
        <v>201212</v>
      </c>
      <c r="G508" s="7">
        <f t="shared" si="90"/>
        <v>0.7000011306500977</v>
      </c>
      <c r="H508" s="14">
        <v>365366</v>
      </c>
      <c r="I508" s="15">
        <f t="shared" si="91"/>
        <v>201211.675</v>
      </c>
      <c r="J508" s="15">
        <f t="shared" si="92"/>
        <v>292292.8</v>
      </c>
      <c r="K508" s="85">
        <f t="shared" si="93"/>
        <v>0</v>
      </c>
      <c r="L508" s="79">
        <v>201211.675</v>
      </c>
      <c r="M508" s="86">
        <f>ROUND(VLOOKUP(B508,גיליון1!A464:B1434,2,0),0)</f>
        <v>365365</v>
      </c>
      <c r="N508" s="108"/>
    </row>
    <row r="509" spans="1:14" ht="15.75">
      <c r="A509">
        <v>505</v>
      </c>
      <c r="B509" s="12">
        <v>580459287</v>
      </c>
      <c r="C509" s="12" t="s">
        <v>640</v>
      </c>
      <c r="D509" s="13" t="s">
        <v>59</v>
      </c>
      <c r="E509" s="6">
        <v>101844.5</v>
      </c>
      <c r="F509" s="6">
        <v>71291</v>
      </c>
      <c r="G509" s="7">
        <f t="shared" si="90"/>
        <v>0.6999985271664154</v>
      </c>
      <c r="H509" s="14">
        <v>152203</v>
      </c>
      <c r="I509" s="15">
        <f t="shared" si="91"/>
        <v>71291.15</v>
      </c>
      <c r="J509" s="15">
        <f t="shared" si="92"/>
        <v>121762.40000000001</v>
      </c>
      <c r="K509" s="85">
        <f t="shared" si="93"/>
        <v>71291</v>
      </c>
      <c r="L509" s="79">
        <v>71291.15</v>
      </c>
      <c r="M509" s="86">
        <f>ROUND(VLOOKUP(B509,גיליון1!A465:B1435,2,0),0)</f>
        <v>152205</v>
      </c>
      <c r="N509" s="108"/>
    </row>
    <row r="510" spans="1:14" ht="15.75">
      <c r="A510" s="3">
        <v>506</v>
      </c>
      <c r="B510" s="53">
        <v>580459584</v>
      </c>
      <c r="C510" s="54" t="s">
        <v>664</v>
      </c>
      <c r="D510" s="54" t="s">
        <v>68</v>
      </c>
      <c r="E510" s="6">
        <v>30810</v>
      </c>
      <c r="F510" s="6">
        <v>15405</v>
      </c>
      <c r="G510" s="7">
        <f t="shared" si="90"/>
        <v>0.5</v>
      </c>
      <c r="H510" s="14">
        <v>83481</v>
      </c>
      <c r="I510" s="15">
        <f t="shared" si="91"/>
        <v>21567</v>
      </c>
      <c r="J510" s="15">
        <f t="shared" si="92"/>
        <v>66784.8</v>
      </c>
      <c r="K510" s="85">
        <f t="shared" si="93"/>
        <v>21567</v>
      </c>
      <c r="L510" s="79">
        <v>15405</v>
      </c>
      <c r="M510" s="86">
        <f>ROUND(VLOOKUP(B510,גיליון1!A466:B1436,2,0),0)</f>
        <v>86430</v>
      </c>
      <c r="N510" s="108"/>
    </row>
    <row r="511" spans="1:14" ht="15.75">
      <c r="A511">
        <v>507</v>
      </c>
      <c r="B511" s="121">
        <v>580459758</v>
      </c>
      <c r="C511" s="120" t="s">
        <v>975</v>
      </c>
      <c r="D511" s="13"/>
      <c r="E511" s="116">
        <v>82470</v>
      </c>
      <c r="F511" s="116">
        <v>41235</v>
      </c>
      <c r="G511" s="117"/>
      <c r="H511" s="118">
        <v>117037</v>
      </c>
      <c r="I511" s="15"/>
      <c r="J511" s="15"/>
      <c r="K511" s="110"/>
      <c r="L511" s="79"/>
      <c r="M511" s="86"/>
      <c r="N511" s="108"/>
    </row>
    <row r="512" spans="1:14" ht="15.75">
      <c r="A512" s="3">
        <v>508</v>
      </c>
      <c r="B512" s="12">
        <v>580459873</v>
      </c>
      <c r="C512" s="13" t="s">
        <v>195</v>
      </c>
      <c r="D512" s="17" t="s">
        <v>59</v>
      </c>
      <c r="E512" s="6">
        <v>207337.25</v>
      </c>
      <c r="F512" s="6">
        <v>145136</v>
      </c>
      <c r="G512" s="7">
        <f>F512/E512</f>
        <v>0.6999996382704989</v>
      </c>
      <c r="H512" s="14">
        <v>240932</v>
      </c>
      <c r="I512" s="15">
        <f>E512*$I$2</f>
        <v>145136.07499999998</v>
      </c>
      <c r="J512" s="15">
        <f>H512*$J$2</f>
        <v>192745.6</v>
      </c>
      <c r="K512" s="85">
        <f>ROUND(IF(IF(MIN(I512,J512)&lt;F512,MIN(I512,J512)-F512,MIN(I512,J512))&lt;0,0,IF(MIN(I512,J512)&lt;F512,MIN(I512,J512)-F512,MIN(I512,J512))),0)</f>
        <v>145136</v>
      </c>
      <c r="L512" s="79">
        <v>145136.07499999998</v>
      </c>
      <c r="M512" s="86">
        <f>ROUND(VLOOKUP(B512,גיליון1!A467:B1437,2,0),0)</f>
        <v>240931</v>
      </c>
      <c r="N512" s="108"/>
    </row>
    <row r="513" spans="1:14" ht="15.75">
      <c r="A513">
        <v>509</v>
      </c>
      <c r="B513" s="60">
        <v>580460269</v>
      </c>
      <c r="C513" s="13" t="s">
        <v>753</v>
      </c>
      <c r="D513" s="13" t="s">
        <v>90</v>
      </c>
      <c r="E513" s="6">
        <v>198076</v>
      </c>
      <c r="F513" s="6">
        <v>138653</v>
      </c>
      <c r="G513" s="7">
        <f>F513/E513</f>
        <v>0.6999989902865567</v>
      </c>
      <c r="H513" s="14">
        <v>279621</v>
      </c>
      <c r="I513" s="15">
        <f>E513*$I$2</f>
        <v>138653.19999999998</v>
      </c>
      <c r="J513" s="15">
        <f>H513*$J$2</f>
        <v>223696.80000000002</v>
      </c>
      <c r="K513" s="85">
        <f>ROUND(IF(IF(MIN(I513,J513)&lt;F513,MIN(I513,J513)-F513,MIN(I513,J513))&lt;0,0,IF(MIN(I513,J513)&lt;F513,MIN(I513,J513)-F513,MIN(I513,J513))),0)</f>
        <v>138653</v>
      </c>
      <c r="L513" s="79">
        <v>138653.19999999998</v>
      </c>
      <c r="M513" s="86">
        <f>ROUND(VLOOKUP(B513,גיליון1!A468:B1438,2,0),0)</f>
        <v>279621</v>
      </c>
      <c r="N513" s="108"/>
    </row>
    <row r="514" spans="1:14" ht="15.75">
      <c r="A514" s="3">
        <v>510</v>
      </c>
      <c r="B514" s="120">
        <v>580460855</v>
      </c>
      <c r="C514" s="120" t="s">
        <v>976</v>
      </c>
      <c r="D514" s="13"/>
      <c r="E514" s="116">
        <v>53517</v>
      </c>
      <c r="F514" s="116">
        <v>26758</v>
      </c>
      <c r="G514" s="117"/>
      <c r="H514" s="118">
        <v>36241</v>
      </c>
      <c r="I514" s="15"/>
      <c r="J514" s="15"/>
      <c r="K514" s="110"/>
      <c r="L514" s="79"/>
      <c r="M514" s="86"/>
      <c r="N514" s="108"/>
    </row>
    <row r="515" spans="1:14" ht="15">
      <c r="A515">
        <v>511</v>
      </c>
      <c r="B515" s="41">
        <v>580460871</v>
      </c>
      <c r="C515" s="42" t="s">
        <v>529</v>
      </c>
      <c r="D515" s="42" t="s">
        <v>68</v>
      </c>
      <c r="E515" s="6">
        <v>1572</v>
      </c>
      <c r="F515" s="6">
        <v>786</v>
      </c>
      <c r="G515" s="7">
        <f aca="true" t="shared" si="94" ref="G515:G521">F515/E515</f>
        <v>0.5</v>
      </c>
      <c r="H515" s="14">
        <v>929</v>
      </c>
      <c r="I515" s="15">
        <f aca="true" t="shared" si="95" ref="I515:I521">E515*$I$2</f>
        <v>1100.3999999999999</v>
      </c>
      <c r="J515" s="15">
        <f aca="true" t="shared" si="96" ref="J515:J521">H515*$J$2</f>
        <v>743.2</v>
      </c>
      <c r="K515" s="85">
        <f aca="true" t="shared" si="97" ref="K515:K521">ROUND(IF(IF(MIN(I515,J515)&lt;F515,MIN(I515,J515)-F515,MIN(I515,J515))&lt;0,0,IF(MIN(I515,J515)&lt;F515,MIN(I515,J515)-F515,MIN(I515,J515))),0)</f>
        <v>0</v>
      </c>
      <c r="L515" s="79">
        <v>786</v>
      </c>
      <c r="M515" s="86">
        <f>ROUND(VLOOKUP(B515,גיליון1!A469:B1439,2,0),0)</f>
        <v>929</v>
      </c>
      <c r="N515" s="108"/>
    </row>
    <row r="516" spans="1:14" ht="15.75">
      <c r="A516" s="3">
        <v>512</v>
      </c>
      <c r="B516" s="12">
        <v>580460988</v>
      </c>
      <c r="C516" s="13" t="s">
        <v>457</v>
      </c>
      <c r="D516" s="13" t="s">
        <v>56</v>
      </c>
      <c r="E516" s="6">
        <v>13704</v>
      </c>
      <c r="F516" s="6">
        <v>6852</v>
      </c>
      <c r="G516" s="7">
        <f t="shared" si="94"/>
        <v>0.5</v>
      </c>
      <c r="H516" s="14">
        <v>8598</v>
      </c>
      <c r="I516" s="15">
        <f t="shared" si="95"/>
        <v>9592.8</v>
      </c>
      <c r="J516" s="15">
        <f t="shared" si="96"/>
        <v>6878.400000000001</v>
      </c>
      <c r="K516" s="85">
        <f t="shared" si="97"/>
        <v>6878</v>
      </c>
      <c r="L516" s="79">
        <v>6852</v>
      </c>
      <c r="M516" s="86">
        <f>ROUND(VLOOKUP(B516,גיליון1!A470:B1440,2,0),0)</f>
        <v>8598</v>
      </c>
      <c r="N516" s="108"/>
    </row>
    <row r="517" spans="1:14" ht="15.75">
      <c r="A517">
        <v>513</v>
      </c>
      <c r="B517" s="12">
        <v>580462166</v>
      </c>
      <c r="C517" s="13" t="s">
        <v>565</v>
      </c>
      <c r="D517" s="17" t="s">
        <v>59</v>
      </c>
      <c r="E517" s="6">
        <v>405143.25</v>
      </c>
      <c r="F517" s="6">
        <v>283600</v>
      </c>
      <c r="G517" s="7">
        <f t="shared" si="94"/>
        <v>0.6999993212277386</v>
      </c>
      <c r="H517" s="14">
        <v>439426</v>
      </c>
      <c r="I517" s="15">
        <f t="shared" si="95"/>
        <v>283600.27499999997</v>
      </c>
      <c r="J517" s="15">
        <f t="shared" si="96"/>
        <v>351540.80000000005</v>
      </c>
      <c r="K517" s="85">
        <f t="shared" si="97"/>
        <v>283600</v>
      </c>
      <c r="L517" s="79">
        <v>283600.27499999997</v>
      </c>
      <c r="M517" s="86">
        <f>ROUND(VLOOKUP(B517,גיליון1!A471:B1441,2,0),0)</f>
        <v>439418</v>
      </c>
      <c r="N517" s="108"/>
    </row>
    <row r="518" spans="1:14" ht="15.75">
      <c r="A518" s="3">
        <v>514</v>
      </c>
      <c r="B518" s="12">
        <v>580462240</v>
      </c>
      <c r="C518" s="13" t="s">
        <v>699</v>
      </c>
      <c r="D518" s="13" t="s">
        <v>56</v>
      </c>
      <c r="E518" s="6">
        <v>11337</v>
      </c>
      <c r="F518" s="6">
        <v>5669</v>
      </c>
      <c r="G518" s="7">
        <f t="shared" si="94"/>
        <v>0.5000441033783187</v>
      </c>
      <c r="H518" s="14">
        <v>15507</v>
      </c>
      <c r="I518" s="15">
        <f t="shared" si="95"/>
        <v>7935.9</v>
      </c>
      <c r="J518" s="15">
        <f t="shared" si="96"/>
        <v>12405.6</v>
      </c>
      <c r="K518" s="85">
        <f t="shared" si="97"/>
        <v>7936</v>
      </c>
      <c r="L518" s="79">
        <v>5668.5</v>
      </c>
      <c r="M518" s="86">
        <f>ROUND(VLOOKUP(B518,גיליון1!A472:B1442,2,0),0)</f>
        <v>15507</v>
      </c>
      <c r="N518" s="108"/>
    </row>
    <row r="519" spans="1:14" ht="15">
      <c r="A519">
        <v>515</v>
      </c>
      <c r="B519" s="18">
        <v>580462653</v>
      </c>
      <c r="C519" s="18" t="s">
        <v>551</v>
      </c>
      <c r="D519" s="4" t="s">
        <v>56</v>
      </c>
      <c r="E519" s="6">
        <v>62885</v>
      </c>
      <c r="F519" s="6">
        <v>44020</v>
      </c>
      <c r="G519" s="7">
        <f t="shared" si="94"/>
        <v>0.7000079510217063</v>
      </c>
      <c r="H519" s="14">
        <v>96436</v>
      </c>
      <c r="I519" s="15">
        <f t="shared" si="95"/>
        <v>44019.5</v>
      </c>
      <c r="J519" s="15">
        <f t="shared" si="96"/>
        <v>77148.8</v>
      </c>
      <c r="K519" s="85">
        <f t="shared" si="97"/>
        <v>0</v>
      </c>
      <c r="L519" s="79">
        <v>44019.5</v>
      </c>
      <c r="M519" s="86">
        <f>ROUND(VLOOKUP(B519,גיליון1!A473:B1443,2,0),0)</f>
        <v>96436</v>
      </c>
      <c r="N519" s="108"/>
    </row>
    <row r="520" spans="1:14" ht="15.75">
      <c r="A520" s="3">
        <v>516</v>
      </c>
      <c r="B520" s="12">
        <v>580462984</v>
      </c>
      <c r="C520" s="13" t="s">
        <v>388</v>
      </c>
      <c r="D520" s="13" t="s">
        <v>56</v>
      </c>
      <c r="E520" s="6">
        <v>101498.25</v>
      </c>
      <c r="F520" s="6">
        <v>71049</v>
      </c>
      <c r="G520" s="7">
        <f t="shared" si="94"/>
        <v>0.7000022167869889</v>
      </c>
      <c r="H520" s="14">
        <v>114869</v>
      </c>
      <c r="I520" s="15">
        <f t="shared" si="95"/>
        <v>71048.775</v>
      </c>
      <c r="J520" s="15">
        <f t="shared" si="96"/>
        <v>91895.20000000001</v>
      </c>
      <c r="K520" s="85">
        <f t="shared" si="97"/>
        <v>0</v>
      </c>
      <c r="L520" s="79">
        <v>71048.775</v>
      </c>
      <c r="M520" s="86">
        <f>ROUND(VLOOKUP(B520,גיליון1!A474:B1444,2,0),0)</f>
        <v>114867</v>
      </c>
      <c r="N520" s="108"/>
    </row>
    <row r="521" spans="1:14" ht="15.75">
      <c r="A521">
        <v>517</v>
      </c>
      <c r="B521" s="12">
        <v>580463867</v>
      </c>
      <c r="C521" s="12" t="s">
        <v>641</v>
      </c>
      <c r="D521" s="13" t="s">
        <v>59</v>
      </c>
      <c r="E521" s="6">
        <v>135498.5</v>
      </c>
      <c r="F521" s="6">
        <v>94849</v>
      </c>
      <c r="G521" s="7">
        <f t="shared" si="94"/>
        <v>0.700000369007775</v>
      </c>
      <c r="H521" s="14">
        <v>121638</v>
      </c>
      <c r="I521" s="15">
        <f t="shared" si="95"/>
        <v>94848.95</v>
      </c>
      <c r="J521" s="15">
        <f t="shared" si="96"/>
        <v>97310.40000000001</v>
      </c>
      <c r="K521" s="85">
        <f t="shared" si="97"/>
        <v>0</v>
      </c>
      <c r="L521" s="79">
        <v>94848.95</v>
      </c>
      <c r="M521" s="86">
        <f>ROUND(VLOOKUP(B521,גיליון1!A475:B1445,2,0),0)</f>
        <v>121639</v>
      </c>
      <c r="N521" s="108"/>
    </row>
    <row r="522" spans="1:14" ht="15.75">
      <c r="A522" s="3">
        <v>518</v>
      </c>
      <c r="B522" s="119">
        <v>580464923</v>
      </c>
      <c r="C522" s="119" t="s">
        <v>1081</v>
      </c>
      <c r="D522" s="13"/>
      <c r="E522" s="116">
        <v>59662</v>
      </c>
      <c r="F522" s="116">
        <v>29831</v>
      </c>
      <c r="G522" s="117"/>
      <c r="H522" s="118">
        <v>87982</v>
      </c>
      <c r="I522" s="15"/>
      <c r="J522" s="15"/>
      <c r="K522" s="110"/>
      <c r="L522" s="79"/>
      <c r="M522" s="86"/>
      <c r="N522" s="108"/>
    </row>
    <row r="523" spans="1:14" ht="15.75">
      <c r="A523">
        <v>519</v>
      </c>
      <c r="B523" s="12">
        <v>580464964</v>
      </c>
      <c r="C523" s="13" t="s">
        <v>530</v>
      </c>
      <c r="D523" s="13" t="s">
        <v>56</v>
      </c>
      <c r="E523" s="6">
        <v>305085</v>
      </c>
      <c r="F523" s="6">
        <v>213559.5</v>
      </c>
      <c r="G523" s="7">
        <f aca="true" t="shared" si="98" ref="G523:G534">F523/E523</f>
        <v>0.7</v>
      </c>
      <c r="H523" s="14">
        <v>393310</v>
      </c>
      <c r="I523" s="15">
        <f aca="true" t="shared" si="99" ref="I523:I534">E523*$I$2</f>
        <v>213559.5</v>
      </c>
      <c r="J523" s="15">
        <f aca="true" t="shared" si="100" ref="J523:J534">H523*$J$2</f>
        <v>314648</v>
      </c>
      <c r="K523" s="85">
        <f aca="true" t="shared" si="101" ref="K523:K534">ROUND(IF(IF(MIN(I523,J523)&lt;F523,MIN(I523,J523)-F523,MIN(I523,J523))&lt;0,0,IF(MIN(I523,J523)&lt;F523,MIN(I523,J523)-F523,MIN(I523,J523))),0)</f>
        <v>213560</v>
      </c>
      <c r="L523" s="79">
        <v>213559.5</v>
      </c>
      <c r="M523" s="86">
        <f>ROUND(VLOOKUP(B523,גיליון1!A476:B1446,2,0),0)</f>
        <v>393305</v>
      </c>
      <c r="N523" s="108"/>
    </row>
    <row r="524" spans="1:14" ht="15.75">
      <c r="A524" s="3">
        <v>520</v>
      </c>
      <c r="B524" s="12">
        <v>580465599</v>
      </c>
      <c r="C524" s="13" t="s">
        <v>389</v>
      </c>
      <c r="D524" s="13" t="s">
        <v>56</v>
      </c>
      <c r="E524" s="6">
        <v>149564.75</v>
      </c>
      <c r="F524" s="6">
        <v>55679</v>
      </c>
      <c r="G524" s="7">
        <f t="shared" si="98"/>
        <v>0.3722735470757648</v>
      </c>
      <c r="H524" s="14">
        <v>55679</v>
      </c>
      <c r="I524" s="15">
        <f t="shared" si="99"/>
        <v>104695.325</v>
      </c>
      <c r="J524" s="15">
        <f t="shared" si="100"/>
        <v>44543.200000000004</v>
      </c>
      <c r="K524" s="85">
        <f t="shared" si="101"/>
        <v>0</v>
      </c>
      <c r="L524" s="79">
        <v>104695.325</v>
      </c>
      <c r="M524" s="86">
        <f>ROUND(VLOOKUP(B524,גיליון1!A477:B1447,2,0),0)</f>
        <v>55679</v>
      </c>
      <c r="N524" s="108"/>
    </row>
    <row r="525" spans="1:14" ht="15">
      <c r="A525">
        <v>521</v>
      </c>
      <c r="B525" s="18">
        <v>580465870</v>
      </c>
      <c r="C525" s="4" t="s">
        <v>196</v>
      </c>
      <c r="D525" s="4" t="s">
        <v>68</v>
      </c>
      <c r="E525" s="6">
        <v>1030.75</v>
      </c>
      <c r="F525" s="6">
        <v>515</v>
      </c>
      <c r="G525" s="7">
        <f t="shared" si="98"/>
        <v>0.4996361872422993</v>
      </c>
      <c r="H525" s="14">
        <v>1628</v>
      </c>
      <c r="I525" s="15">
        <f t="shared" si="99"/>
        <v>721.525</v>
      </c>
      <c r="J525" s="15">
        <f t="shared" si="100"/>
        <v>1302.4</v>
      </c>
      <c r="K525" s="85">
        <f t="shared" si="101"/>
        <v>722</v>
      </c>
      <c r="L525" s="79">
        <v>515.375</v>
      </c>
      <c r="M525" s="86">
        <f>ROUND(VLOOKUP(B525,גיליון1!A478:B1448,2,0),0)</f>
        <v>1628</v>
      </c>
      <c r="N525" s="108"/>
    </row>
    <row r="526" spans="1:14" ht="15.75">
      <c r="A526" s="3">
        <v>522</v>
      </c>
      <c r="B526" s="38">
        <v>580466092</v>
      </c>
      <c r="C526" s="19" t="s">
        <v>197</v>
      </c>
      <c r="D526" s="19" t="s">
        <v>56</v>
      </c>
      <c r="E526" s="6">
        <v>166854</v>
      </c>
      <c r="F526" s="6">
        <v>114108</v>
      </c>
      <c r="G526" s="7">
        <f t="shared" si="98"/>
        <v>0.6838793196447194</v>
      </c>
      <c r="H526" s="14">
        <v>184064</v>
      </c>
      <c r="I526" s="15">
        <f t="shared" si="99"/>
        <v>116797.79999999999</v>
      </c>
      <c r="J526" s="15">
        <f t="shared" si="100"/>
        <v>147251.2</v>
      </c>
      <c r="K526" s="85">
        <f t="shared" si="101"/>
        <v>116798</v>
      </c>
      <c r="L526" s="79">
        <v>114108.15</v>
      </c>
      <c r="M526" s="86">
        <f>ROUND(VLOOKUP(B526,גיליון1!A480:B1450,2,0),0)</f>
        <v>184062</v>
      </c>
      <c r="N526" s="108"/>
    </row>
    <row r="527" spans="1:14" ht="15.75">
      <c r="A527">
        <v>523</v>
      </c>
      <c r="B527" s="12">
        <v>580466613</v>
      </c>
      <c r="C527" s="13" t="s">
        <v>198</v>
      </c>
      <c r="D527" s="13" t="s">
        <v>56</v>
      </c>
      <c r="E527" s="6">
        <v>85201</v>
      </c>
      <c r="F527" s="6">
        <v>59641</v>
      </c>
      <c r="G527" s="7">
        <f t="shared" si="98"/>
        <v>0.7000035210854333</v>
      </c>
      <c r="H527" s="14">
        <v>126212</v>
      </c>
      <c r="I527" s="15">
        <f t="shared" si="99"/>
        <v>59640.7</v>
      </c>
      <c r="J527" s="15">
        <f t="shared" si="100"/>
        <v>100969.6</v>
      </c>
      <c r="K527" s="85">
        <f t="shared" si="101"/>
        <v>0</v>
      </c>
      <c r="L527" s="79">
        <v>59640.7</v>
      </c>
      <c r="M527" s="86">
        <f>ROUND(VLOOKUP(B527,גיליון1!A481:B1451,2,0),0)</f>
        <v>126213</v>
      </c>
      <c r="N527" s="108"/>
    </row>
    <row r="528" spans="1:14" ht="15.75">
      <c r="A528" s="3">
        <v>524</v>
      </c>
      <c r="B528" s="12">
        <v>580466837</v>
      </c>
      <c r="C528" s="13" t="s">
        <v>700</v>
      </c>
      <c r="D528" s="17" t="s">
        <v>59</v>
      </c>
      <c r="E528" s="6">
        <v>26662</v>
      </c>
      <c r="F528" s="6">
        <v>13331</v>
      </c>
      <c r="G528" s="7">
        <f t="shared" si="98"/>
        <v>0.5</v>
      </c>
      <c r="H528" s="14">
        <v>25279</v>
      </c>
      <c r="I528" s="15">
        <f t="shared" si="99"/>
        <v>18663.399999999998</v>
      </c>
      <c r="J528" s="15">
        <f t="shared" si="100"/>
        <v>20223.2</v>
      </c>
      <c r="K528" s="85">
        <f t="shared" si="101"/>
        <v>18663</v>
      </c>
      <c r="L528" s="79">
        <v>13331.000000000002</v>
      </c>
      <c r="M528" s="86">
        <f>ROUND(VLOOKUP(B528,גיליון1!A482:B1452,2,0),0)</f>
        <v>25278</v>
      </c>
      <c r="N528" s="108"/>
    </row>
    <row r="529" spans="1:14" ht="15.75">
      <c r="A529">
        <v>525</v>
      </c>
      <c r="B529" s="12">
        <v>580466902</v>
      </c>
      <c r="C529" s="13" t="s">
        <v>458</v>
      </c>
      <c r="D529" s="13" t="s">
        <v>56</v>
      </c>
      <c r="E529" s="6">
        <v>159869</v>
      </c>
      <c r="F529" s="6">
        <v>111908</v>
      </c>
      <c r="G529" s="7">
        <f t="shared" si="98"/>
        <v>0.6999981234635858</v>
      </c>
      <c r="H529" s="14">
        <v>189980</v>
      </c>
      <c r="I529" s="15">
        <f t="shared" si="99"/>
        <v>111908.29999999999</v>
      </c>
      <c r="J529" s="15">
        <f t="shared" si="100"/>
        <v>151984</v>
      </c>
      <c r="K529" s="85">
        <f t="shared" si="101"/>
        <v>111908</v>
      </c>
      <c r="L529" s="79">
        <v>111908.29999999999</v>
      </c>
      <c r="M529" s="86">
        <f>ROUND(VLOOKUP(B529,גיליון1!A483:B1453,2,0),0)</f>
        <v>189977</v>
      </c>
      <c r="N529" s="108"/>
    </row>
    <row r="530" spans="1:14" ht="15.75">
      <c r="A530" s="3">
        <v>526</v>
      </c>
      <c r="B530" s="12">
        <v>580466993</v>
      </c>
      <c r="C530" s="13" t="s">
        <v>199</v>
      </c>
      <c r="D530" s="17" t="s">
        <v>59</v>
      </c>
      <c r="E530" s="6">
        <f>330785.25+261267</f>
        <v>592052.25</v>
      </c>
      <c r="F530" s="6">
        <v>231550</v>
      </c>
      <c r="G530" s="7">
        <f t="shared" si="98"/>
        <v>0.39109723846163913</v>
      </c>
      <c r="H530" s="14">
        <f>472212+350000</f>
        <v>822212</v>
      </c>
      <c r="I530" s="15">
        <f t="shared" si="99"/>
        <v>414436.57499999995</v>
      </c>
      <c r="J530" s="15">
        <f t="shared" si="100"/>
        <v>657769.6000000001</v>
      </c>
      <c r="K530" s="85">
        <f t="shared" si="101"/>
        <v>414437</v>
      </c>
      <c r="L530" s="79">
        <v>231549.675</v>
      </c>
      <c r="M530" s="86">
        <f>ROUND(VLOOKUP(B530,גיליון1!A484:B1454,2,0),0)</f>
        <v>472210</v>
      </c>
      <c r="N530" s="108"/>
    </row>
    <row r="531" spans="1:14" ht="15">
      <c r="A531">
        <v>527</v>
      </c>
      <c r="B531" s="18">
        <v>580467488</v>
      </c>
      <c r="C531" s="18" t="s">
        <v>701</v>
      </c>
      <c r="D531" s="4" t="s">
        <v>64</v>
      </c>
      <c r="E531" s="6">
        <v>12637</v>
      </c>
      <c r="F531" s="6">
        <v>4747</v>
      </c>
      <c r="G531" s="7">
        <f t="shared" si="98"/>
        <v>0.375642953232571</v>
      </c>
      <c r="H531" s="14">
        <v>4747</v>
      </c>
      <c r="I531" s="15">
        <f t="shared" si="99"/>
        <v>8845.9</v>
      </c>
      <c r="J531" s="15">
        <f t="shared" si="100"/>
        <v>3797.6000000000004</v>
      </c>
      <c r="K531" s="85">
        <f t="shared" si="101"/>
        <v>0</v>
      </c>
      <c r="L531" s="79">
        <v>6318.5</v>
      </c>
      <c r="M531" s="86">
        <f>ROUND(VLOOKUP(B531,גיליון1!A485:B1455,2,0),0)</f>
        <v>4747</v>
      </c>
      <c r="N531" s="108"/>
    </row>
    <row r="532" spans="1:14" ht="15.75">
      <c r="A532" s="3">
        <v>528</v>
      </c>
      <c r="B532" s="12">
        <v>580467819</v>
      </c>
      <c r="C532" s="13" t="s">
        <v>200</v>
      </c>
      <c r="D532" s="13" t="s">
        <v>56</v>
      </c>
      <c r="E532" s="6">
        <v>87982.5</v>
      </c>
      <c r="F532" s="6">
        <v>61588</v>
      </c>
      <c r="G532" s="7">
        <f t="shared" si="98"/>
        <v>0.7000028414741568</v>
      </c>
      <c r="H532" s="14">
        <v>400451</v>
      </c>
      <c r="I532" s="15">
        <f t="shared" si="99"/>
        <v>61587.74999999999</v>
      </c>
      <c r="J532" s="15">
        <f t="shared" si="100"/>
        <v>320360.80000000005</v>
      </c>
      <c r="K532" s="85">
        <f t="shared" si="101"/>
        <v>0</v>
      </c>
      <c r="L532" s="79">
        <v>61587.74999999999</v>
      </c>
      <c r="M532" s="86">
        <f>ROUND(VLOOKUP(B532,גיליון1!A486:B1456,2,0),0)</f>
        <v>400451</v>
      </c>
      <c r="N532" s="108"/>
    </row>
    <row r="533" spans="1:14" ht="15.75">
      <c r="A533">
        <v>529</v>
      </c>
      <c r="B533" s="12">
        <v>580467868</v>
      </c>
      <c r="C533" s="13" t="s">
        <v>201</v>
      </c>
      <c r="D533" s="13" t="s">
        <v>56</v>
      </c>
      <c r="E533" s="6">
        <v>197358.25</v>
      </c>
      <c r="F533" s="6">
        <v>138150.775</v>
      </c>
      <c r="G533" s="7">
        <f t="shared" si="98"/>
        <v>0.7</v>
      </c>
      <c r="H533" s="14">
        <v>281975</v>
      </c>
      <c r="I533" s="15">
        <f t="shared" si="99"/>
        <v>138150.775</v>
      </c>
      <c r="J533" s="15">
        <f t="shared" si="100"/>
        <v>225580</v>
      </c>
      <c r="K533" s="85">
        <f t="shared" si="101"/>
        <v>138151</v>
      </c>
      <c r="L533" s="79">
        <v>138150.775</v>
      </c>
      <c r="M533" s="86">
        <f>ROUND(VLOOKUP(B533,גיליון1!A487:B1457,2,0),0)</f>
        <v>281976</v>
      </c>
      <c r="N533" s="108"/>
    </row>
    <row r="534" spans="1:14" ht="15.75">
      <c r="A534" s="3">
        <v>530</v>
      </c>
      <c r="B534" s="37">
        <v>580467926</v>
      </c>
      <c r="C534" s="13" t="s">
        <v>599</v>
      </c>
      <c r="D534" s="17" t="s">
        <v>59</v>
      </c>
      <c r="E534" s="6">
        <v>186204.25</v>
      </c>
      <c r="F534" s="6">
        <v>93102</v>
      </c>
      <c r="G534" s="7">
        <f t="shared" si="98"/>
        <v>0.49999932869416247</v>
      </c>
      <c r="H534" s="14">
        <v>312307</v>
      </c>
      <c r="I534" s="15">
        <f t="shared" si="99"/>
        <v>130342.97499999999</v>
      </c>
      <c r="J534" s="15">
        <f t="shared" si="100"/>
        <v>249845.6</v>
      </c>
      <c r="K534" s="85">
        <f t="shared" si="101"/>
        <v>130343</v>
      </c>
      <c r="L534" s="79">
        <v>93102.125</v>
      </c>
      <c r="M534" s="86">
        <f>ROUND(VLOOKUP(B534,גיליון1!A488:B1458,2,0),0)</f>
        <v>312305</v>
      </c>
      <c r="N534" s="108"/>
    </row>
    <row r="535" spans="1:14" ht="15.75">
      <c r="A535">
        <v>531</v>
      </c>
      <c r="B535" s="122">
        <v>580468056</v>
      </c>
      <c r="C535" s="120" t="s">
        <v>1082</v>
      </c>
      <c r="D535" s="13"/>
      <c r="E535" s="116"/>
      <c r="F535" s="116">
        <v>15145</v>
      </c>
      <c r="G535" s="117"/>
      <c r="H535" s="118">
        <v>18931</v>
      </c>
      <c r="I535" s="15"/>
      <c r="J535" s="15"/>
      <c r="K535" s="110"/>
      <c r="L535" s="79"/>
      <c r="M535" s="86"/>
      <c r="N535" s="108"/>
    </row>
    <row r="536" spans="1:14" ht="15.75">
      <c r="A536" s="3">
        <v>532</v>
      </c>
      <c r="B536" s="37">
        <v>580468171</v>
      </c>
      <c r="C536" s="13" t="s">
        <v>295</v>
      </c>
      <c r="D536" s="17" t="s">
        <v>59</v>
      </c>
      <c r="E536" s="6">
        <v>95391.5</v>
      </c>
      <c r="F536" s="6">
        <v>47696</v>
      </c>
      <c r="G536" s="7">
        <f>F536/E536</f>
        <v>0.5000026207785809</v>
      </c>
      <c r="H536" s="14">
        <v>83384</v>
      </c>
      <c r="I536" s="15">
        <f>E536*$I$2</f>
        <v>66774.05</v>
      </c>
      <c r="J536" s="15">
        <f>H536*$J$2</f>
        <v>66707.2</v>
      </c>
      <c r="K536" s="85">
        <f>ROUND(IF(IF(MIN(I536,J536)&lt;F536,MIN(I536,J536)-F536,MIN(I536,J536))&lt;0,0,IF(MIN(I536,J536)&lt;F536,MIN(I536,J536)-F536,MIN(I536,J536))),0)</f>
        <v>66707</v>
      </c>
      <c r="L536" s="79">
        <v>47695.75</v>
      </c>
      <c r="M536" s="86">
        <f>ROUND(VLOOKUP(B536,גיליון1!A489:B1459,2,0),0)</f>
        <v>83383</v>
      </c>
      <c r="N536" s="108"/>
    </row>
    <row r="537" spans="1:14" ht="15.75">
      <c r="A537">
        <v>533</v>
      </c>
      <c r="B537" s="12">
        <v>580470292</v>
      </c>
      <c r="C537" s="13" t="s">
        <v>566</v>
      </c>
      <c r="D537" s="17" t="s">
        <v>59</v>
      </c>
      <c r="E537" s="6">
        <v>127600.25</v>
      </c>
      <c r="F537" s="6">
        <v>89320</v>
      </c>
      <c r="G537" s="7">
        <f>F537/E537</f>
        <v>0.6999986285293328</v>
      </c>
      <c r="H537" s="14">
        <v>176807</v>
      </c>
      <c r="I537" s="15">
        <f>E537*$I$2</f>
        <v>89320.17499999999</v>
      </c>
      <c r="J537" s="15">
        <f>H537*$J$2</f>
        <v>141445.6</v>
      </c>
      <c r="K537" s="85">
        <f>ROUND(IF(IF(MIN(I537,J537)&lt;F537,MIN(I537,J537)-F537,MIN(I537,J537))&lt;0,0,IF(MIN(I537,J537)&lt;F537,MIN(I537,J537)-F537,MIN(I537,J537))),0)</f>
        <v>89320</v>
      </c>
      <c r="L537" s="79">
        <v>89320.17499999999</v>
      </c>
      <c r="M537" s="86">
        <f>ROUND(VLOOKUP(B537,גיליון1!A490:B1460,2,0),0)</f>
        <v>176807</v>
      </c>
      <c r="N537" s="108"/>
    </row>
    <row r="538" spans="1:14" ht="15.75">
      <c r="A538" s="3">
        <v>534</v>
      </c>
      <c r="B538" s="121">
        <v>580470557</v>
      </c>
      <c r="C538" s="120" t="s">
        <v>1083</v>
      </c>
      <c r="D538" s="13"/>
      <c r="E538" s="116">
        <v>107481</v>
      </c>
      <c r="F538" s="116">
        <v>53741</v>
      </c>
      <c r="G538" s="117"/>
      <c r="H538" s="118">
        <v>154635</v>
      </c>
      <c r="I538" s="15"/>
      <c r="J538" s="15"/>
      <c r="K538" s="110"/>
      <c r="L538" s="79"/>
      <c r="M538" s="86"/>
      <c r="N538" s="108"/>
    </row>
    <row r="539" spans="1:14" ht="15.75">
      <c r="A539">
        <v>535</v>
      </c>
      <c r="B539" s="37">
        <v>580470771</v>
      </c>
      <c r="C539" s="13" t="s">
        <v>202</v>
      </c>
      <c r="D539" s="13" t="s">
        <v>56</v>
      </c>
      <c r="E539" s="6">
        <v>131718.75</v>
      </c>
      <c r="F539" s="6">
        <v>92203</v>
      </c>
      <c r="G539" s="7">
        <f>F539/E539</f>
        <v>0.6999990510083037</v>
      </c>
      <c r="H539" s="14">
        <v>138084</v>
      </c>
      <c r="I539" s="15">
        <f>E539*$I$2</f>
        <v>92203.125</v>
      </c>
      <c r="J539" s="15">
        <f>H539*$J$2</f>
        <v>110467.20000000001</v>
      </c>
      <c r="K539" s="85">
        <f>ROUND(IF(IF(MIN(I539,J539)&lt;F539,MIN(I539,J539)-F539,MIN(I539,J539))&lt;0,0,IF(MIN(I539,J539)&lt;F539,MIN(I539,J539)-F539,MIN(I539,J539))),0)</f>
        <v>92203</v>
      </c>
      <c r="L539" s="79">
        <v>92203.125</v>
      </c>
      <c r="M539" s="86">
        <f>ROUND(VLOOKUP(B539,גיליון1!A491:B1461,2,0),0)</f>
        <v>138084</v>
      </c>
      <c r="N539" s="108"/>
    </row>
    <row r="540" spans="1:14" ht="15.75">
      <c r="A540" s="3">
        <v>536</v>
      </c>
      <c r="B540" s="12">
        <v>580471704</v>
      </c>
      <c r="C540" s="13" t="s">
        <v>203</v>
      </c>
      <c r="D540" s="17" t="s">
        <v>59</v>
      </c>
      <c r="E540" s="6">
        <v>61673.25</v>
      </c>
      <c r="F540" s="6">
        <v>35274</v>
      </c>
      <c r="G540" s="7">
        <f>F540/E540</f>
        <v>0.5719497513103331</v>
      </c>
      <c r="H540" s="14">
        <v>44092</v>
      </c>
      <c r="I540" s="15">
        <f>E540*$I$2</f>
        <v>43171.274999999994</v>
      </c>
      <c r="J540" s="15">
        <f>H540*$J$2</f>
        <v>35273.6</v>
      </c>
      <c r="K540" s="85">
        <f>ROUND(IF(IF(MIN(I540,J540)&lt;F540,MIN(I540,J540)-F540,MIN(I540,J540))&lt;0,0,IF(MIN(I540,J540)&lt;F540,MIN(I540,J540)-F540,MIN(I540,J540))),0)</f>
        <v>0</v>
      </c>
      <c r="L540" s="79">
        <v>35273.6</v>
      </c>
      <c r="M540" s="86">
        <f>ROUND(VLOOKUP(B540,גיליון1!A492:B1462,2,0),0)</f>
        <v>44092</v>
      </c>
      <c r="N540" s="108"/>
    </row>
    <row r="541" spans="1:14" ht="15.75">
      <c r="A541">
        <v>537</v>
      </c>
      <c r="B541" s="129">
        <v>580472546</v>
      </c>
      <c r="C541" s="130" t="s">
        <v>980</v>
      </c>
      <c r="D541" s="13"/>
      <c r="E541" s="116"/>
      <c r="F541" s="116"/>
      <c r="G541" s="117"/>
      <c r="H541" s="118">
        <v>43642</v>
      </c>
      <c r="I541" s="15"/>
      <c r="J541" s="15"/>
      <c r="K541" s="110"/>
      <c r="L541" s="79"/>
      <c r="M541" s="86"/>
      <c r="N541" s="108"/>
    </row>
    <row r="542" spans="1:14" ht="15">
      <c r="A542" s="3">
        <v>538</v>
      </c>
      <c r="B542" s="41">
        <v>580472736</v>
      </c>
      <c r="C542" s="41" t="s">
        <v>609</v>
      </c>
      <c r="D542" s="42" t="s">
        <v>59</v>
      </c>
      <c r="E542" s="6">
        <v>259257.75</v>
      </c>
      <c r="F542" s="6">
        <v>181480</v>
      </c>
      <c r="G542" s="7">
        <f>F542/E542</f>
        <v>0.6999983607047426</v>
      </c>
      <c r="H542" s="14">
        <v>271862</v>
      </c>
      <c r="I542" s="15">
        <f>E542*$I$2</f>
        <v>181480.425</v>
      </c>
      <c r="J542" s="15">
        <f>H542*$J$2</f>
        <v>217489.6</v>
      </c>
      <c r="K542" s="85">
        <f>ROUND(IF(IF(MIN(I542,J542)&lt;F542,MIN(I542,J542)-F542,MIN(I542,J542))&lt;0,0,IF(MIN(I542,J542)&lt;F542,MIN(I542,J542)-F542,MIN(I542,J542))),0)</f>
        <v>181480</v>
      </c>
      <c r="L542" s="79">
        <v>181480.425</v>
      </c>
      <c r="M542" s="86">
        <f>ROUND(VLOOKUP(B542,גיליון1!A493:B1463,2,0),0)</f>
        <v>271862</v>
      </c>
      <c r="N542" s="108"/>
    </row>
    <row r="543" spans="1:14" ht="15">
      <c r="A543">
        <v>539</v>
      </c>
      <c r="B543" s="41">
        <v>580472751</v>
      </c>
      <c r="C543" s="42" t="s">
        <v>390</v>
      </c>
      <c r="D543" s="42" t="s">
        <v>68</v>
      </c>
      <c r="E543" s="6">
        <v>253039.5</v>
      </c>
      <c r="F543" s="6">
        <v>126520</v>
      </c>
      <c r="G543" s="7">
        <f>F543/E543</f>
        <v>0.5000009879880414</v>
      </c>
      <c r="H543" s="14">
        <v>165180</v>
      </c>
      <c r="I543" s="15">
        <f>E543*$I$2</f>
        <v>177127.65</v>
      </c>
      <c r="J543" s="15">
        <f>H543*$J$2</f>
        <v>132144</v>
      </c>
      <c r="K543" s="85">
        <f>ROUND(IF(IF(MIN(I543,J543)&lt;F543,MIN(I543,J543)-F543,MIN(I543,J543))&lt;0,0,IF(MIN(I543,J543)&lt;F543,MIN(I543,J543)-F543,MIN(I543,J543))),0)</f>
        <v>132144</v>
      </c>
      <c r="L543" s="79">
        <v>126519.74999999999</v>
      </c>
      <c r="M543" s="86">
        <f>ROUND(VLOOKUP(B543,גיליון1!A494:B1464,2,0),0)</f>
        <v>165180</v>
      </c>
      <c r="N543" s="108"/>
    </row>
    <row r="544" spans="1:14" ht="15.75">
      <c r="A544" s="3">
        <v>540</v>
      </c>
      <c r="B544" s="41">
        <v>580474062</v>
      </c>
      <c r="C544" s="41" t="s">
        <v>1101</v>
      </c>
      <c r="D544" s="13"/>
      <c r="E544" s="116"/>
      <c r="F544" s="116"/>
      <c r="G544" s="117"/>
      <c r="H544" s="118">
        <v>5367</v>
      </c>
      <c r="I544" s="15"/>
      <c r="J544" s="15"/>
      <c r="K544" s="110"/>
      <c r="L544" s="79"/>
      <c r="M544" s="86"/>
      <c r="N544" s="108"/>
    </row>
    <row r="545" spans="1:14" ht="15">
      <c r="A545">
        <v>541</v>
      </c>
      <c r="B545" s="41">
        <v>580475093</v>
      </c>
      <c r="C545" s="41" t="s">
        <v>531</v>
      </c>
      <c r="D545" s="42" t="s">
        <v>64</v>
      </c>
      <c r="E545" s="6">
        <v>50499</v>
      </c>
      <c r="F545" s="6">
        <v>25250</v>
      </c>
      <c r="G545" s="7">
        <f aca="true" t="shared" si="102" ref="G545:G553">F545/E545</f>
        <v>0.5000099011861621</v>
      </c>
      <c r="H545" s="14">
        <v>37714</v>
      </c>
      <c r="I545" s="15">
        <f aca="true" t="shared" si="103" ref="I545:I553">E545*$I$2</f>
        <v>35349.299999999996</v>
      </c>
      <c r="J545" s="15">
        <f aca="true" t="shared" si="104" ref="J545:J553">H545*$J$2</f>
        <v>30171.2</v>
      </c>
      <c r="K545" s="85">
        <f aca="true" t="shared" si="105" ref="K545:K553">ROUND(IF(IF(MIN(I545,J545)&lt;F545,MIN(I545,J545)-F545,MIN(I545,J545))&lt;0,0,IF(MIN(I545,J545)&lt;F545,MIN(I545,J545)-F545,MIN(I545,J545))),0)</f>
        <v>30171</v>
      </c>
      <c r="L545" s="79">
        <v>25249.5</v>
      </c>
      <c r="M545" s="86">
        <f>ROUND(VLOOKUP(B545,גיליון1!A495:B1465,2,0),0)</f>
        <v>37714</v>
      </c>
      <c r="N545" s="108"/>
    </row>
    <row r="546" spans="1:14" ht="15.75">
      <c r="A546" s="3">
        <v>542</v>
      </c>
      <c r="B546" s="12">
        <v>580475465</v>
      </c>
      <c r="C546" s="13" t="s">
        <v>459</v>
      </c>
      <c r="D546" s="17" t="s">
        <v>59</v>
      </c>
      <c r="E546" s="6">
        <v>190250</v>
      </c>
      <c r="F546" s="6">
        <v>133175</v>
      </c>
      <c r="G546" s="7">
        <f t="shared" si="102"/>
        <v>0.7</v>
      </c>
      <c r="H546" s="14">
        <v>227282</v>
      </c>
      <c r="I546" s="15">
        <f t="shared" si="103"/>
        <v>133175</v>
      </c>
      <c r="J546" s="15">
        <f t="shared" si="104"/>
        <v>181825.6</v>
      </c>
      <c r="K546" s="85">
        <f t="shared" si="105"/>
        <v>133175</v>
      </c>
      <c r="L546" s="79">
        <v>133175</v>
      </c>
      <c r="M546" s="86">
        <f>ROUND(VLOOKUP(B546,גיליון1!A496:B1466,2,0),0)</f>
        <v>227281</v>
      </c>
      <c r="N546" s="108"/>
    </row>
    <row r="547" spans="1:14" ht="15.75">
      <c r="A547">
        <v>543</v>
      </c>
      <c r="B547" s="53">
        <v>580476059</v>
      </c>
      <c r="C547" s="55" t="s">
        <v>666</v>
      </c>
      <c r="D547" s="56" t="s">
        <v>59</v>
      </c>
      <c r="E547" s="6">
        <v>166095.75</v>
      </c>
      <c r="F547" s="6">
        <v>116267</v>
      </c>
      <c r="G547" s="7">
        <f t="shared" si="102"/>
        <v>0.6999998494844089</v>
      </c>
      <c r="H547" s="14">
        <v>196619</v>
      </c>
      <c r="I547" s="15">
        <f t="shared" si="103"/>
        <v>116267.025</v>
      </c>
      <c r="J547" s="15">
        <f t="shared" si="104"/>
        <v>157295.2</v>
      </c>
      <c r="K547" s="85">
        <f t="shared" si="105"/>
        <v>116267</v>
      </c>
      <c r="L547" s="79">
        <v>116267.025</v>
      </c>
      <c r="M547" s="86">
        <f>ROUND(VLOOKUP(B547,גיליון1!A497:B1467,2,0),0)</f>
        <v>196615</v>
      </c>
      <c r="N547" s="108"/>
    </row>
    <row r="548" spans="1:14" ht="15.75">
      <c r="A548" s="3">
        <v>544</v>
      </c>
      <c r="B548" s="12">
        <v>580476075</v>
      </c>
      <c r="C548" s="13" t="s">
        <v>532</v>
      </c>
      <c r="D548" s="17" t="s">
        <v>59</v>
      </c>
      <c r="E548" s="6">
        <v>46848.600000000006</v>
      </c>
      <c r="F548" s="6">
        <v>23424</v>
      </c>
      <c r="G548" s="7">
        <f t="shared" si="102"/>
        <v>0.4999935963934887</v>
      </c>
      <c r="H548" s="14">
        <v>134767</v>
      </c>
      <c r="I548" s="15">
        <f t="shared" si="103"/>
        <v>32794.020000000004</v>
      </c>
      <c r="J548" s="15">
        <f t="shared" si="104"/>
        <v>107813.6</v>
      </c>
      <c r="K548" s="85">
        <f t="shared" si="105"/>
        <v>32794</v>
      </c>
      <c r="L548" s="79">
        <v>23424.300000000003</v>
      </c>
      <c r="M548" s="86">
        <f>ROUND(VLOOKUP(B548,גיליון1!A498:B1468,2,0),0)</f>
        <v>134768</v>
      </c>
      <c r="N548" s="108"/>
    </row>
    <row r="549" spans="1:14" ht="15.75">
      <c r="A549">
        <v>545</v>
      </c>
      <c r="B549" s="37">
        <v>580476703</v>
      </c>
      <c r="C549" s="12" t="s">
        <v>642</v>
      </c>
      <c r="D549" s="13" t="s">
        <v>70</v>
      </c>
      <c r="E549" s="6">
        <v>23128</v>
      </c>
      <c r="F549" s="6">
        <v>16190</v>
      </c>
      <c r="G549" s="7">
        <f t="shared" si="102"/>
        <v>0.7000172950536147</v>
      </c>
      <c r="H549" s="14">
        <v>27408</v>
      </c>
      <c r="I549" s="15">
        <f t="shared" si="103"/>
        <v>16189.599999999999</v>
      </c>
      <c r="J549" s="15">
        <f t="shared" si="104"/>
        <v>21926.4</v>
      </c>
      <c r="K549" s="85">
        <f t="shared" si="105"/>
        <v>0</v>
      </c>
      <c r="L549" s="79">
        <v>16189.599999999999</v>
      </c>
      <c r="M549" s="86">
        <f>ROUND(VLOOKUP(B549,גיליון1!A499:B1469,2,0),0)</f>
        <v>27407</v>
      </c>
      <c r="N549" s="108"/>
    </row>
    <row r="550" spans="1:14" ht="15">
      <c r="A550" s="3">
        <v>546</v>
      </c>
      <c r="B550" s="4">
        <v>580477065</v>
      </c>
      <c r="C550" s="4" t="s">
        <v>567</v>
      </c>
      <c r="D550" s="4" t="s">
        <v>90</v>
      </c>
      <c r="E550" s="6">
        <v>78370.5</v>
      </c>
      <c r="F550" s="6">
        <v>39185</v>
      </c>
      <c r="G550" s="7">
        <f t="shared" si="102"/>
        <v>0.49999681002418</v>
      </c>
      <c r="H550" s="14">
        <v>92872</v>
      </c>
      <c r="I550" s="15">
        <f t="shared" si="103"/>
        <v>54859.35</v>
      </c>
      <c r="J550" s="15">
        <f t="shared" si="104"/>
        <v>74297.6</v>
      </c>
      <c r="K550" s="85">
        <f t="shared" si="105"/>
        <v>54859</v>
      </c>
      <c r="L550" s="79">
        <v>39185.25</v>
      </c>
      <c r="M550" s="86">
        <f>ROUND(VLOOKUP(B550,גיליון1!A500:B1470,2,0),0)</f>
        <v>92871</v>
      </c>
      <c r="N550" s="108"/>
    </row>
    <row r="551" spans="1:14" ht="15.75">
      <c r="A551">
        <v>547</v>
      </c>
      <c r="B551" s="12">
        <v>580477958</v>
      </c>
      <c r="C551" s="77" t="s">
        <v>723</v>
      </c>
      <c r="D551" s="4" t="s">
        <v>64</v>
      </c>
      <c r="E551" s="6">
        <v>126361.5</v>
      </c>
      <c r="F551" s="6">
        <v>88453</v>
      </c>
      <c r="G551" s="7">
        <f t="shared" si="102"/>
        <v>0.6999996043098571</v>
      </c>
      <c r="H551" s="14">
        <v>131453</v>
      </c>
      <c r="I551" s="15">
        <f t="shared" si="103"/>
        <v>88453.04999999999</v>
      </c>
      <c r="J551" s="15">
        <f t="shared" si="104"/>
        <v>105162.40000000001</v>
      </c>
      <c r="K551" s="85">
        <f t="shared" si="105"/>
        <v>88453</v>
      </c>
      <c r="L551" s="79">
        <v>88453.04999999999</v>
      </c>
      <c r="M551" s="86">
        <f>ROUND(VLOOKUP(B551,גיליון1!A501:B1471,2,0),0)</f>
        <v>131451</v>
      </c>
      <c r="N551" s="108"/>
    </row>
    <row r="552" spans="1:14" ht="15">
      <c r="A552" s="3">
        <v>548</v>
      </c>
      <c r="B552" s="42">
        <v>580479749</v>
      </c>
      <c r="C552" s="42" t="s">
        <v>391</v>
      </c>
      <c r="D552" s="42" t="s">
        <v>90</v>
      </c>
      <c r="E552" s="6">
        <v>83967.75</v>
      </c>
      <c r="F552" s="6">
        <v>58777</v>
      </c>
      <c r="G552" s="7">
        <f t="shared" si="102"/>
        <v>0.6999949385329487</v>
      </c>
      <c r="H552" s="14">
        <v>78207</v>
      </c>
      <c r="I552" s="15">
        <f t="shared" si="103"/>
        <v>58777.424999999996</v>
      </c>
      <c r="J552" s="15">
        <f t="shared" si="104"/>
        <v>62565.600000000006</v>
      </c>
      <c r="K552" s="85">
        <f t="shared" si="105"/>
        <v>58777</v>
      </c>
      <c r="L552" s="79">
        <v>58777.424999999996</v>
      </c>
      <c r="M552" s="86">
        <f>ROUND(VLOOKUP(B552,גיליון1!A502:B1472,2,0),0)</f>
        <v>78207</v>
      </c>
      <c r="N552" s="108"/>
    </row>
    <row r="553" spans="1:14" ht="15.75">
      <c r="A553">
        <v>549</v>
      </c>
      <c r="B553" s="12">
        <v>580480200</v>
      </c>
      <c r="C553" s="77" t="s">
        <v>724</v>
      </c>
      <c r="D553" s="4" t="s">
        <v>56</v>
      </c>
      <c r="E553" s="6">
        <v>12637.5</v>
      </c>
      <c r="F553" s="6">
        <v>6319</v>
      </c>
      <c r="G553" s="7">
        <f t="shared" si="102"/>
        <v>0.5000197823936696</v>
      </c>
      <c r="H553" s="14">
        <v>8693</v>
      </c>
      <c r="I553" s="15">
        <f t="shared" si="103"/>
        <v>8846.25</v>
      </c>
      <c r="J553" s="15">
        <f t="shared" si="104"/>
        <v>6954.400000000001</v>
      </c>
      <c r="K553" s="85">
        <f t="shared" si="105"/>
        <v>6954</v>
      </c>
      <c r="L553" s="79">
        <v>6318.75</v>
      </c>
      <c r="M553" s="86">
        <f>ROUND(VLOOKUP(B553,גיליון1!A503:B1473,2,0),0)</f>
        <v>8693</v>
      </c>
      <c r="N553" s="108"/>
    </row>
    <row r="554" spans="1:14" ht="15.75">
      <c r="A554" s="3">
        <v>550</v>
      </c>
      <c r="B554" s="120">
        <v>580480226</v>
      </c>
      <c r="C554" s="120" t="s">
        <v>1084</v>
      </c>
      <c r="D554" s="13"/>
      <c r="E554" s="116">
        <v>12320</v>
      </c>
      <c r="F554" s="116">
        <v>4928</v>
      </c>
      <c r="G554" s="117"/>
      <c r="H554" s="118">
        <v>31953</v>
      </c>
      <c r="I554" s="15"/>
      <c r="J554" s="15"/>
      <c r="K554" s="110"/>
      <c r="L554" s="79"/>
      <c r="M554" s="86"/>
      <c r="N554" s="108"/>
    </row>
    <row r="555" spans="1:14" ht="15.75">
      <c r="A555">
        <v>551</v>
      </c>
      <c r="B555" s="12">
        <v>580480978</v>
      </c>
      <c r="C555" s="13" t="s">
        <v>204</v>
      </c>
      <c r="D555" s="17" t="s">
        <v>59</v>
      </c>
      <c r="E555" s="6">
        <v>158066.75</v>
      </c>
      <c r="F555" s="6">
        <v>110647</v>
      </c>
      <c r="G555" s="7">
        <f aca="true" t="shared" si="106" ref="G555:G562">F555/E555</f>
        <v>0.7000017397713307</v>
      </c>
      <c r="H555" s="14">
        <v>172997</v>
      </c>
      <c r="I555" s="15">
        <f aca="true" t="shared" si="107" ref="I555:I562">E555*$I$2</f>
        <v>110646.72499999999</v>
      </c>
      <c r="J555" s="15">
        <f aca="true" t="shared" si="108" ref="J555:J562">H555*$J$2</f>
        <v>138397.6</v>
      </c>
      <c r="K555" s="85">
        <f aca="true" t="shared" si="109" ref="K555:K562">ROUND(IF(IF(MIN(I555,J555)&lt;F555,MIN(I555,J555)-F555,MIN(I555,J555))&lt;0,0,IF(MIN(I555,J555)&lt;F555,MIN(I555,J555)-F555,MIN(I555,J555))),0)</f>
        <v>0</v>
      </c>
      <c r="L555" s="79">
        <v>110646.72499999999</v>
      </c>
      <c r="M555" s="86">
        <f>ROUND(VLOOKUP(B555,גיליון1!A504:B1474,2,0),0)</f>
        <v>172998</v>
      </c>
      <c r="N555" s="108"/>
    </row>
    <row r="556" spans="1:14" ht="15.75">
      <c r="A556" s="3">
        <v>552</v>
      </c>
      <c r="B556" s="12">
        <v>580481232</v>
      </c>
      <c r="C556" s="13" t="s">
        <v>392</v>
      </c>
      <c r="D556" s="17" t="s">
        <v>59</v>
      </c>
      <c r="E556" s="6">
        <v>365732.75</v>
      </c>
      <c r="F556" s="6">
        <v>256013</v>
      </c>
      <c r="G556" s="7">
        <f t="shared" si="106"/>
        <v>0.7000002050677715</v>
      </c>
      <c r="H556" s="14">
        <v>368823</v>
      </c>
      <c r="I556" s="15">
        <f t="shared" si="107"/>
        <v>256012.925</v>
      </c>
      <c r="J556" s="15">
        <f t="shared" si="108"/>
        <v>295058.4</v>
      </c>
      <c r="K556" s="85">
        <f t="shared" si="109"/>
        <v>0</v>
      </c>
      <c r="L556" s="79">
        <v>256012.925</v>
      </c>
      <c r="M556" s="86">
        <f>ROUND(VLOOKUP(B556,גיליון1!A505:B1475,2,0),0)</f>
        <v>368817</v>
      </c>
      <c r="N556" s="108"/>
    </row>
    <row r="557" spans="1:14" ht="15.75">
      <c r="A557">
        <v>553</v>
      </c>
      <c r="B557" s="12">
        <v>580481455</v>
      </c>
      <c r="C557" s="13" t="s">
        <v>568</v>
      </c>
      <c r="D557" s="17" t="s">
        <v>59</v>
      </c>
      <c r="E557" s="6">
        <v>87788.25</v>
      </c>
      <c r="F557" s="6">
        <v>43894</v>
      </c>
      <c r="G557" s="7">
        <f t="shared" si="106"/>
        <v>0.4999985761192415</v>
      </c>
      <c r="H557" s="14">
        <v>125688</v>
      </c>
      <c r="I557" s="15">
        <f t="shared" si="107"/>
        <v>61451.774999999994</v>
      </c>
      <c r="J557" s="15">
        <f t="shared" si="108"/>
        <v>100550.40000000001</v>
      </c>
      <c r="K557" s="85">
        <f t="shared" si="109"/>
        <v>61452</v>
      </c>
      <c r="L557" s="79">
        <v>43894.125</v>
      </c>
      <c r="M557" s="86">
        <f>ROUND(VLOOKUP(B557,גיליון1!A506:B1476,2,0),0)</f>
        <v>125690</v>
      </c>
      <c r="N557" s="108"/>
    </row>
    <row r="558" spans="1:14" ht="15.75">
      <c r="A558" s="3">
        <v>554</v>
      </c>
      <c r="B558" s="12">
        <v>580481935</v>
      </c>
      <c r="C558" s="13" t="s">
        <v>533</v>
      </c>
      <c r="D558" s="17" t="s">
        <v>59</v>
      </c>
      <c r="E558" s="6">
        <v>42481.5</v>
      </c>
      <c r="F558" s="6">
        <v>16993</v>
      </c>
      <c r="G558" s="7">
        <f t="shared" si="106"/>
        <v>0.40000941586337585</v>
      </c>
      <c r="H558" s="14">
        <v>105459</v>
      </c>
      <c r="I558" s="15">
        <f t="shared" si="107"/>
        <v>29737.05</v>
      </c>
      <c r="J558" s="15">
        <f t="shared" si="108"/>
        <v>84367.20000000001</v>
      </c>
      <c r="K558" s="85">
        <f t="shared" si="109"/>
        <v>29737</v>
      </c>
      <c r="L558" s="79">
        <v>16992.6</v>
      </c>
      <c r="M558" s="86">
        <f>ROUND(VLOOKUP(B558,גיליון1!A507:B1477,2,0),0)</f>
        <v>105456</v>
      </c>
      <c r="N558" s="108"/>
    </row>
    <row r="559" spans="1:14" ht="15.75">
      <c r="A559">
        <v>555</v>
      </c>
      <c r="B559" s="12">
        <v>580482040</v>
      </c>
      <c r="C559" s="12" t="s">
        <v>643</v>
      </c>
      <c r="D559" s="13" t="s">
        <v>59</v>
      </c>
      <c r="E559" s="6">
        <v>309115.25</v>
      </c>
      <c r="F559" s="6">
        <v>216381</v>
      </c>
      <c r="G559" s="7">
        <f t="shared" si="106"/>
        <v>0.7000010513877915</v>
      </c>
      <c r="H559" s="14">
        <v>303122</v>
      </c>
      <c r="I559" s="15">
        <f t="shared" si="107"/>
        <v>216380.675</v>
      </c>
      <c r="J559" s="15">
        <f t="shared" si="108"/>
        <v>242497.6</v>
      </c>
      <c r="K559" s="85">
        <f t="shared" si="109"/>
        <v>0</v>
      </c>
      <c r="L559" s="79">
        <v>216380.675</v>
      </c>
      <c r="M559" s="86">
        <f>ROUND(VLOOKUP(B559,גיליון1!A508:B1478,2,0),0)</f>
        <v>303116</v>
      </c>
      <c r="N559" s="108"/>
    </row>
    <row r="560" spans="1:14" ht="15">
      <c r="A560" s="3">
        <v>556</v>
      </c>
      <c r="B560" s="41">
        <v>580482115</v>
      </c>
      <c r="C560" s="42" t="s">
        <v>393</v>
      </c>
      <c r="D560" s="42" t="s">
        <v>68</v>
      </c>
      <c r="E560" s="6">
        <v>29940.75</v>
      </c>
      <c r="F560" s="6">
        <v>14970</v>
      </c>
      <c r="G560" s="7">
        <f t="shared" si="106"/>
        <v>0.4999874752636457</v>
      </c>
      <c r="H560" s="14">
        <v>20316</v>
      </c>
      <c r="I560" s="15">
        <f t="shared" si="107"/>
        <v>20958.524999999998</v>
      </c>
      <c r="J560" s="15">
        <f t="shared" si="108"/>
        <v>16252.800000000001</v>
      </c>
      <c r="K560" s="85">
        <f t="shared" si="109"/>
        <v>16253</v>
      </c>
      <c r="L560" s="79">
        <v>14970.375</v>
      </c>
      <c r="M560" s="86">
        <f>ROUND(VLOOKUP(B560,גיליון1!A509:B1479,2,0),0)</f>
        <v>20316</v>
      </c>
      <c r="N560" s="108"/>
    </row>
    <row r="561" spans="1:14" ht="15.75">
      <c r="A561">
        <v>557</v>
      </c>
      <c r="B561" s="39">
        <v>580482305</v>
      </c>
      <c r="C561" s="13" t="s">
        <v>534</v>
      </c>
      <c r="D561" s="13" t="s">
        <v>64</v>
      </c>
      <c r="E561" s="6">
        <v>53516.75</v>
      </c>
      <c r="F561" s="6">
        <v>28993</v>
      </c>
      <c r="G561" s="7">
        <f t="shared" si="106"/>
        <v>0.5417556185680185</v>
      </c>
      <c r="H561" s="14">
        <v>36241</v>
      </c>
      <c r="I561" s="15">
        <f t="shared" si="107"/>
        <v>37461.725</v>
      </c>
      <c r="J561" s="15">
        <f t="shared" si="108"/>
        <v>28992.800000000003</v>
      </c>
      <c r="K561" s="85">
        <f t="shared" si="109"/>
        <v>0</v>
      </c>
      <c r="L561" s="79">
        <v>28992.800000000003</v>
      </c>
      <c r="M561" s="86">
        <f>ROUND(VLOOKUP(B561,גיליון1!A510:B1480,2,0),0)</f>
        <v>36242</v>
      </c>
      <c r="N561" s="108"/>
    </row>
    <row r="562" spans="1:14" ht="15.75">
      <c r="A562" s="3">
        <v>558</v>
      </c>
      <c r="B562" s="12">
        <v>580483832</v>
      </c>
      <c r="C562" s="13" t="s">
        <v>460</v>
      </c>
      <c r="D562" s="13" t="s">
        <v>56</v>
      </c>
      <c r="E562" s="6">
        <v>21708.75</v>
      </c>
      <c r="F562" s="6">
        <v>10854</v>
      </c>
      <c r="G562" s="7">
        <f t="shared" si="106"/>
        <v>0.4999827258593885</v>
      </c>
      <c r="H562" s="14">
        <v>17511</v>
      </c>
      <c r="I562" s="15">
        <f t="shared" si="107"/>
        <v>15196.124999999998</v>
      </c>
      <c r="J562" s="15">
        <f t="shared" si="108"/>
        <v>14008.800000000001</v>
      </c>
      <c r="K562" s="85">
        <f t="shared" si="109"/>
        <v>14009</v>
      </c>
      <c r="L562" s="79">
        <v>10854.375</v>
      </c>
      <c r="M562" s="86">
        <f>ROUND(VLOOKUP(B562,גיליון1!A511:B1481,2,0),0)</f>
        <v>17511</v>
      </c>
      <c r="N562" s="108"/>
    </row>
    <row r="563" spans="1:14" ht="15.75">
      <c r="A563">
        <v>559</v>
      </c>
      <c r="B563" s="18">
        <v>580484236</v>
      </c>
      <c r="C563" s="18" t="s">
        <v>1102</v>
      </c>
      <c r="D563" s="13"/>
      <c r="E563" s="116"/>
      <c r="F563" s="116"/>
      <c r="G563" s="117"/>
      <c r="H563" s="118">
        <v>11174</v>
      </c>
      <c r="I563" s="15"/>
      <c r="J563" s="15"/>
      <c r="K563" s="110"/>
      <c r="L563" s="79"/>
      <c r="M563" s="86"/>
      <c r="N563" s="108"/>
    </row>
    <row r="564" spans="1:14" ht="15">
      <c r="A564" s="3">
        <v>560</v>
      </c>
      <c r="B564" s="18">
        <v>580484582</v>
      </c>
      <c r="C564" s="4" t="s">
        <v>205</v>
      </c>
      <c r="D564" s="4" t="s">
        <v>68</v>
      </c>
      <c r="E564" s="6">
        <v>60228</v>
      </c>
      <c r="F564" s="6">
        <v>30114</v>
      </c>
      <c r="G564" s="7">
        <f aca="true" t="shared" si="110" ref="G564:G571">F564/E564</f>
        <v>0.5</v>
      </c>
      <c r="H564" s="14">
        <v>30097</v>
      </c>
      <c r="I564" s="15">
        <f aca="true" t="shared" si="111" ref="I564:I571">E564*$I$2</f>
        <v>42159.6</v>
      </c>
      <c r="J564" s="15">
        <f aca="true" t="shared" si="112" ref="J564:J571">H564*$J$2</f>
        <v>24077.600000000002</v>
      </c>
      <c r="K564" s="85">
        <f aca="true" t="shared" si="113" ref="K564:K571">ROUND(IF(IF(MIN(I564,J564)&lt;F564,MIN(I564,J564)-F564,MIN(I564,J564))&lt;0,0,IF(MIN(I564,J564)&lt;F564,MIN(I564,J564)-F564,MIN(I564,J564))),0)</f>
        <v>0</v>
      </c>
      <c r="L564" s="79">
        <v>30113.999999999996</v>
      </c>
      <c r="M564" s="86">
        <f>ROUND(VLOOKUP(B564,גיליון1!A512:B1482,2,0),0)</f>
        <v>30097</v>
      </c>
      <c r="N564" s="108"/>
    </row>
    <row r="565" spans="1:14" ht="15.75">
      <c r="A565">
        <v>561</v>
      </c>
      <c r="B565" s="53">
        <v>580486223</v>
      </c>
      <c r="C565" s="54" t="s">
        <v>667</v>
      </c>
      <c r="D565" s="54" t="s">
        <v>68</v>
      </c>
      <c r="E565" s="6">
        <v>252398.75</v>
      </c>
      <c r="F565" s="6">
        <v>176679.125</v>
      </c>
      <c r="G565" s="7">
        <f t="shared" si="110"/>
        <v>0.7</v>
      </c>
      <c r="H565" s="14">
        <v>255118</v>
      </c>
      <c r="I565" s="15">
        <f t="shared" si="111"/>
        <v>176679.125</v>
      </c>
      <c r="J565" s="15">
        <f t="shared" si="112"/>
        <v>204094.40000000002</v>
      </c>
      <c r="K565" s="85">
        <f t="shared" si="113"/>
        <v>176679</v>
      </c>
      <c r="L565" s="79">
        <v>176679.125</v>
      </c>
      <c r="M565" s="86">
        <f>ROUND(VLOOKUP(B565,גיליון1!A513:B1483,2,0),0)</f>
        <v>255113</v>
      </c>
      <c r="N565" s="108"/>
    </row>
    <row r="566" spans="1:14" ht="15.75">
      <c r="A566" s="3">
        <v>562</v>
      </c>
      <c r="B566" s="12">
        <v>580487254</v>
      </c>
      <c r="C566" s="13" t="s">
        <v>296</v>
      </c>
      <c r="D566" s="17" t="s">
        <v>59</v>
      </c>
      <c r="E566" s="6">
        <v>207336.25</v>
      </c>
      <c r="F566" s="6">
        <v>133808</v>
      </c>
      <c r="G566" s="7">
        <f t="shared" si="110"/>
        <v>0.6453671270701578</v>
      </c>
      <c r="H566" s="14">
        <v>167260</v>
      </c>
      <c r="I566" s="15">
        <f t="shared" si="111"/>
        <v>145135.375</v>
      </c>
      <c r="J566" s="15">
        <f t="shared" si="112"/>
        <v>133808</v>
      </c>
      <c r="K566" s="85">
        <f t="shared" si="113"/>
        <v>133808</v>
      </c>
      <c r="L566" s="79">
        <v>133808</v>
      </c>
      <c r="M566" s="86">
        <f>ROUND(VLOOKUP(B566,גיליון1!A514:B1484,2,0),0)</f>
        <v>167260</v>
      </c>
      <c r="N566" s="108"/>
    </row>
    <row r="567" spans="1:14" ht="15.75">
      <c r="A567">
        <v>563</v>
      </c>
      <c r="B567" s="37">
        <v>580487973</v>
      </c>
      <c r="C567" s="13" t="s">
        <v>600</v>
      </c>
      <c r="D567" s="13" t="s">
        <v>56</v>
      </c>
      <c r="E567" s="6">
        <v>106501</v>
      </c>
      <c r="F567" s="6">
        <v>74550</v>
      </c>
      <c r="G567" s="7">
        <f t="shared" si="110"/>
        <v>0.6999934272917625</v>
      </c>
      <c r="H567" s="14">
        <v>125688</v>
      </c>
      <c r="I567" s="15">
        <f t="shared" si="111"/>
        <v>74550.7</v>
      </c>
      <c r="J567" s="15">
        <f t="shared" si="112"/>
        <v>100550.40000000001</v>
      </c>
      <c r="K567" s="85">
        <f t="shared" si="113"/>
        <v>74551</v>
      </c>
      <c r="L567" s="79">
        <v>74550.7</v>
      </c>
      <c r="M567" s="86">
        <f>ROUND(VLOOKUP(B567,גיליון1!A515:B1485,2,0),0)</f>
        <v>125690</v>
      </c>
      <c r="N567" s="108"/>
    </row>
    <row r="568" spans="1:14" ht="15.75">
      <c r="A568" s="3">
        <v>564</v>
      </c>
      <c r="B568" s="12">
        <v>580488294</v>
      </c>
      <c r="C568" s="13" t="s">
        <v>702</v>
      </c>
      <c r="D568" s="13" t="s">
        <v>56</v>
      </c>
      <c r="E568" s="6">
        <v>165164.25</v>
      </c>
      <c r="F568" s="6">
        <v>82582</v>
      </c>
      <c r="G568" s="7">
        <f t="shared" si="110"/>
        <v>0.4999992431776247</v>
      </c>
      <c r="H568" s="14">
        <v>128500</v>
      </c>
      <c r="I568" s="15">
        <f t="shared" si="111"/>
        <v>115614.97499999999</v>
      </c>
      <c r="J568" s="15">
        <f t="shared" si="112"/>
        <v>102800</v>
      </c>
      <c r="K568" s="85">
        <f t="shared" si="113"/>
        <v>102800</v>
      </c>
      <c r="L568" s="79">
        <v>82582.125</v>
      </c>
      <c r="M568" s="86">
        <f>ROUND(VLOOKUP(B568,גיליון1!A516:B1486,2,0),0)</f>
        <v>128500</v>
      </c>
      <c r="N568" s="108"/>
    </row>
    <row r="569" spans="1:14" ht="15.75">
      <c r="A569">
        <v>565</v>
      </c>
      <c r="B569" s="19">
        <v>580488435</v>
      </c>
      <c r="C569" s="19" t="s">
        <v>206</v>
      </c>
      <c r="D569" s="19" t="s">
        <v>70</v>
      </c>
      <c r="E569" s="6">
        <v>20171</v>
      </c>
      <c r="F569" s="6">
        <v>6742</v>
      </c>
      <c r="G569" s="7">
        <f t="shared" si="110"/>
        <v>0.3342422289425413</v>
      </c>
      <c r="H569" s="14">
        <v>16481</v>
      </c>
      <c r="I569" s="15">
        <f t="shared" si="111"/>
        <v>14119.699999999999</v>
      </c>
      <c r="J569" s="15">
        <f t="shared" si="112"/>
        <v>13184.800000000001</v>
      </c>
      <c r="K569" s="85">
        <f t="shared" si="113"/>
        <v>13185</v>
      </c>
      <c r="L569" s="79">
        <v>6741.5999999999985</v>
      </c>
      <c r="M569" s="86">
        <f>ROUND(VLOOKUP(B569,גיליון1!A517:B1487,2,0),0)</f>
        <v>16481</v>
      </c>
      <c r="N569" s="108"/>
    </row>
    <row r="570" spans="1:14" ht="15.75">
      <c r="A570" s="3">
        <v>566</v>
      </c>
      <c r="B570" s="12">
        <v>580488948</v>
      </c>
      <c r="C570" s="13" t="s">
        <v>394</v>
      </c>
      <c r="D570" s="17" t="s">
        <v>59</v>
      </c>
      <c r="E570" s="6">
        <v>199597</v>
      </c>
      <c r="F570" s="6">
        <v>139718</v>
      </c>
      <c r="G570" s="7">
        <f t="shared" si="110"/>
        <v>0.7000005010095343</v>
      </c>
      <c r="H570" s="14">
        <v>240644</v>
      </c>
      <c r="I570" s="15">
        <f t="shared" si="111"/>
        <v>139717.9</v>
      </c>
      <c r="J570" s="15">
        <f t="shared" si="112"/>
        <v>192515.2</v>
      </c>
      <c r="K570" s="85">
        <f t="shared" si="113"/>
        <v>0</v>
      </c>
      <c r="L570" s="79">
        <v>139717.9</v>
      </c>
      <c r="M570" s="86">
        <f>ROUND(VLOOKUP(B570,גיליון1!A518:B1488,2,0),0)</f>
        <v>240644</v>
      </c>
      <c r="N570" s="108"/>
    </row>
    <row r="571" spans="1:14" ht="15.75">
      <c r="A571">
        <v>567</v>
      </c>
      <c r="B571" s="12">
        <v>580489391</v>
      </c>
      <c r="C571" s="13" t="s">
        <v>207</v>
      </c>
      <c r="D571" s="13" t="s">
        <v>56</v>
      </c>
      <c r="E571" s="6">
        <v>126394</v>
      </c>
      <c r="F571" s="6">
        <v>88476</v>
      </c>
      <c r="G571" s="7">
        <f t="shared" si="110"/>
        <v>0.7000015823535928</v>
      </c>
      <c r="H571" s="14">
        <v>147513</v>
      </c>
      <c r="I571" s="15">
        <f t="shared" si="111"/>
        <v>88475.79999999999</v>
      </c>
      <c r="J571" s="15">
        <f t="shared" si="112"/>
        <v>118010.40000000001</v>
      </c>
      <c r="K571" s="85">
        <f t="shared" si="113"/>
        <v>0</v>
      </c>
      <c r="L571" s="79">
        <v>88475.8</v>
      </c>
      <c r="M571" s="86">
        <f>ROUND(VLOOKUP(B571,גיליון1!A519:B1489,2,0),0)</f>
        <v>147511</v>
      </c>
      <c r="N571" s="108"/>
    </row>
    <row r="572" spans="1:14" ht="15.75">
      <c r="A572" s="3">
        <v>568</v>
      </c>
      <c r="B572" s="127">
        <v>580489466</v>
      </c>
      <c r="C572" s="45" t="s">
        <v>984</v>
      </c>
      <c r="D572" s="13"/>
      <c r="E572" s="116"/>
      <c r="F572" s="116">
        <v>24582</v>
      </c>
      <c r="G572" s="117"/>
      <c r="H572" s="118">
        <v>83738</v>
      </c>
      <c r="I572" s="15"/>
      <c r="J572" s="15"/>
      <c r="K572" s="110"/>
      <c r="L572" s="79"/>
      <c r="M572" s="86"/>
      <c r="N572" s="108"/>
    </row>
    <row r="573" spans="1:14" ht="15">
      <c r="A573">
        <v>569</v>
      </c>
      <c r="B573" s="18">
        <v>580489953</v>
      </c>
      <c r="C573" s="4" t="s">
        <v>297</v>
      </c>
      <c r="D573" s="4" t="s">
        <v>68</v>
      </c>
      <c r="E573" s="6">
        <v>1483.25</v>
      </c>
      <c r="F573" s="6">
        <v>1038</v>
      </c>
      <c r="G573" s="7">
        <f aca="true" t="shared" si="114" ref="G573:G604">F573/E573</f>
        <v>0.6998145963256363</v>
      </c>
      <c r="H573" s="14">
        <v>1388</v>
      </c>
      <c r="I573" s="15">
        <f aca="true" t="shared" si="115" ref="I573:I604">E573*$I$2</f>
        <v>1038.2749999999999</v>
      </c>
      <c r="J573" s="15">
        <f aca="true" t="shared" si="116" ref="J573:J604">H573*$J$2</f>
        <v>1110.4</v>
      </c>
      <c r="K573" s="85">
        <f aca="true" t="shared" si="117" ref="K573:K604">ROUND(IF(IF(MIN(I573,J573)&lt;F573,MIN(I573,J573)-F573,MIN(I573,J573))&lt;0,0,IF(MIN(I573,J573)&lt;F573,MIN(I573,J573)-F573,MIN(I573,J573))),0)</f>
        <v>1038</v>
      </c>
      <c r="L573" s="79">
        <v>1038.2749999999999</v>
      </c>
      <c r="M573" s="86">
        <f>ROUND(VLOOKUP(B573,גיליון1!A520:B1490,2,0),0)</f>
        <v>1388</v>
      </c>
      <c r="N573" s="108"/>
    </row>
    <row r="574" spans="1:14" ht="15.75">
      <c r="A574" s="3">
        <v>570</v>
      </c>
      <c r="B574" s="13">
        <v>580490860</v>
      </c>
      <c r="C574" s="13" t="s">
        <v>461</v>
      </c>
      <c r="D574" s="13" t="s">
        <v>70</v>
      </c>
      <c r="E574" s="6">
        <v>123115</v>
      </c>
      <c r="F574" s="6">
        <v>61558</v>
      </c>
      <c r="G574" s="7">
        <f t="shared" si="114"/>
        <v>0.5000040612435528</v>
      </c>
      <c r="H574" s="14">
        <v>154235</v>
      </c>
      <c r="I574" s="15">
        <f t="shared" si="115"/>
        <v>86180.5</v>
      </c>
      <c r="J574" s="15">
        <f t="shared" si="116"/>
        <v>123388</v>
      </c>
      <c r="K574" s="85">
        <f t="shared" si="117"/>
        <v>86181</v>
      </c>
      <c r="L574" s="79">
        <v>61557.5</v>
      </c>
      <c r="M574" s="86">
        <f>ROUND(VLOOKUP(B574,גיליון1!A521:B1491,2,0),0)</f>
        <v>154231</v>
      </c>
      <c r="N574" s="108"/>
    </row>
    <row r="575" spans="1:14" ht="15.75">
      <c r="A575">
        <v>571</v>
      </c>
      <c r="B575" s="12">
        <v>580491256</v>
      </c>
      <c r="C575" s="13" t="s">
        <v>535</v>
      </c>
      <c r="D575" s="17" t="s">
        <v>59</v>
      </c>
      <c r="E575" s="6">
        <v>274681</v>
      </c>
      <c r="F575" s="6">
        <v>146976.064</v>
      </c>
      <c r="G575" s="7">
        <f t="shared" si="114"/>
        <v>0.5350791063087728</v>
      </c>
      <c r="H575" s="14">
        <v>183720</v>
      </c>
      <c r="I575" s="15">
        <f t="shared" si="115"/>
        <v>192276.69999999998</v>
      </c>
      <c r="J575" s="15">
        <f t="shared" si="116"/>
        <v>146976</v>
      </c>
      <c r="K575" s="85">
        <f t="shared" si="117"/>
        <v>0</v>
      </c>
      <c r="L575" s="79">
        <v>146976.064</v>
      </c>
      <c r="M575" s="86">
        <f>ROUND(VLOOKUP(B575,גיליון1!A522:B1492,2,0),0)</f>
        <v>183720</v>
      </c>
      <c r="N575" s="108"/>
    </row>
    <row r="576" spans="1:14" ht="15.75">
      <c r="A576" s="3">
        <v>572</v>
      </c>
      <c r="B576" s="12">
        <v>580491496</v>
      </c>
      <c r="C576" s="13" t="s">
        <v>208</v>
      </c>
      <c r="D576" s="13" t="s">
        <v>56</v>
      </c>
      <c r="E576" s="6">
        <v>57361.25</v>
      </c>
      <c r="F576" s="6">
        <v>40153</v>
      </c>
      <c r="G576" s="7">
        <f t="shared" si="114"/>
        <v>0.700002179171479</v>
      </c>
      <c r="H576" s="14">
        <v>64144</v>
      </c>
      <c r="I576" s="15">
        <f t="shared" si="115"/>
        <v>40152.875</v>
      </c>
      <c r="J576" s="15">
        <f t="shared" si="116"/>
        <v>51315.200000000004</v>
      </c>
      <c r="K576" s="85">
        <f t="shared" si="117"/>
        <v>0</v>
      </c>
      <c r="L576" s="79">
        <v>40152.875</v>
      </c>
      <c r="M576" s="86">
        <f>ROUND(VLOOKUP(B576,גיליון1!A523:B1493,2,0),0)</f>
        <v>64142</v>
      </c>
      <c r="N576" s="108"/>
    </row>
    <row r="577" spans="1:14" ht="15.75">
      <c r="A577">
        <v>573</v>
      </c>
      <c r="B577" s="12">
        <v>580492965</v>
      </c>
      <c r="C577" s="13" t="s">
        <v>209</v>
      </c>
      <c r="D577" s="17" t="s">
        <v>59</v>
      </c>
      <c r="E577" s="6">
        <v>374366</v>
      </c>
      <c r="F577" s="6">
        <v>136815</v>
      </c>
      <c r="G577" s="7">
        <f t="shared" si="114"/>
        <v>0.36545786743454267</v>
      </c>
      <c r="H577" s="14">
        <v>136815</v>
      </c>
      <c r="I577" s="15">
        <f t="shared" si="115"/>
        <v>262056.19999999998</v>
      </c>
      <c r="J577" s="15">
        <f t="shared" si="116"/>
        <v>109452</v>
      </c>
      <c r="K577" s="85">
        <f t="shared" si="117"/>
        <v>0</v>
      </c>
      <c r="L577" s="79">
        <v>187183</v>
      </c>
      <c r="M577" s="86">
        <f>ROUND(VLOOKUP(B577,גיליון1!A524:B1494,2,0),0)</f>
        <v>136812</v>
      </c>
      <c r="N577" s="108"/>
    </row>
    <row r="578" spans="1:14" ht="15.75">
      <c r="A578" s="3">
        <v>574</v>
      </c>
      <c r="B578" s="12">
        <v>580493054</v>
      </c>
      <c r="C578" s="13" t="s">
        <v>703</v>
      </c>
      <c r="D578" s="17" t="s">
        <v>59</v>
      </c>
      <c r="E578" s="6">
        <v>275179</v>
      </c>
      <c r="F578" s="6">
        <v>192625.3</v>
      </c>
      <c r="G578" s="7">
        <f t="shared" si="114"/>
        <v>0.7</v>
      </c>
      <c r="H578" s="14">
        <v>280952</v>
      </c>
      <c r="I578" s="15">
        <f t="shared" si="115"/>
        <v>192625.3</v>
      </c>
      <c r="J578" s="15">
        <f t="shared" si="116"/>
        <v>224761.6</v>
      </c>
      <c r="K578" s="85">
        <f t="shared" si="117"/>
        <v>192625</v>
      </c>
      <c r="L578" s="79">
        <v>192625.3</v>
      </c>
      <c r="M578" s="86">
        <f>ROUND(VLOOKUP(B578,גיליון1!A525:B1495,2,0),0)</f>
        <v>280952</v>
      </c>
      <c r="N578" s="108"/>
    </row>
    <row r="579" spans="1:14" ht="15.75">
      <c r="A579">
        <v>575</v>
      </c>
      <c r="B579" s="12">
        <v>580493062</v>
      </c>
      <c r="C579" s="12" t="s">
        <v>644</v>
      </c>
      <c r="D579" s="13" t="s">
        <v>70</v>
      </c>
      <c r="E579" s="6">
        <v>216380</v>
      </c>
      <c r="F579" s="6">
        <v>108190</v>
      </c>
      <c r="G579" s="7">
        <f t="shared" si="114"/>
        <v>0.5</v>
      </c>
      <c r="H579" s="14">
        <v>154903</v>
      </c>
      <c r="I579" s="15">
        <f t="shared" si="115"/>
        <v>151466</v>
      </c>
      <c r="J579" s="15">
        <f t="shared" si="116"/>
        <v>123922.40000000001</v>
      </c>
      <c r="K579" s="85">
        <f t="shared" si="117"/>
        <v>123922</v>
      </c>
      <c r="L579" s="79">
        <v>108190</v>
      </c>
      <c r="M579" s="86">
        <f>ROUND(VLOOKUP(B579,גיליון1!A526:B1496,2,0),0)</f>
        <v>154899</v>
      </c>
      <c r="N579" s="108"/>
    </row>
    <row r="580" spans="1:14" ht="15.75">
      <c r="A580" s="3">
        <v>576</v>
      </c>
      <c r="B580" s="12">
        <v>580495042</v>
      </c>
      <c r="C580" s="13" t="s">
        <v>536</v>
      </c>
      <c r="D580" s="17" t="s">
        <v>59</v>
      </c>
      <c r="E580" s="6">
        <v>175165</v>
      </c>
      <c r="F580" s="6">
        <v>87583</v>
      </c>
      <c r="G580" s="7">
        <f t="shared" si="114"/>
        <v>0.5000028544515172</v>
      </c>
      <c r="H580" s="14">
        <v>100552</v>
      </c>
      <c r="I580" s="15">
        <f t="shared" si="115"/>
        <v>122615.49999999999</v>
      </c>
      <c r="J580" s="15">
        <f t="shared" si="116"/>
        <v>80441.6</v>
      </c>
      <c r="K580" s="85">
        <f t="shared" si="117"/>
        <v>0</v>
      </c>
      <c r="L580" s="79">
        <v>87582.5</v>
      </c>
      <c r="M580" s="86">
        <f>ROUND(VLOOKUP(B580,גיליון1!A527:B1497,2,0),0)</f>
        <v>100552</v>
      </c>
      <c r="N580" s="108"/>
    </row>
    <row r="581" spans="1:14" ht="15.75">
      <c r="A581">
        <v>577</v>
      </c>
      <c r="B581" s="12">
        <v>580495257</v>
      </c>
      <c r="C581" s="13" t="s">
        <v>537</v>
      </c>
      <c r="D581" s="17" t="s">
        <v>59</v>
      </c>
      <c r="E581" s="6">
        <v>159439.5</v>
      </c>
      <c r="F581" s="6">
        <v>96493</v>
      </c>
      <c r="G581" s="7">
        <f t="shared" si="114"/>
        <v>0.6052013459650839</v>
      </c>
      <c r="H581" s="14">
        <v>120616</v>
      </c>
      <c r="I581" s="15">
        <f t="shared" si="115"/>
        <v>111607.65</v>
      </c>
      <c r="J581" s="15">
        <f t="shared" si="116"/>
        <v>96492.8</v>
      </c>
      <c r="K581" s="85">
        <f t="shared" si="117"/>
        <v>0</v>
      </c>
      <c r="L581" s="79">
        <v>96492.8</v>
      </c>
      <c r="M581" s="86">
        <f>ROUND(VLOOKUP(B581,גיליון1!A528:B1498,2,0),0)</f>
        <v>120616</v>
      </c>
      <c r="N581" s="108"/>
    </row>
    <row r="582" spans="1:14" ht="15.75">
      <c r="A582" s="3">
        <v>578</v>
      </c>
      <c r="B582" s="12">
        <v>580496107</v>
      </c>
      <c r="C582" s="13" t="s">
        <v>210</v>
      </c>
      <c r="D582" s="17" t="s">
        <v>64</v>
      </c>
      <c r="E582" s="6">
        <v>97756.75</v>
      </c>
      <c r="F582" s="6">
        <v>60321.848</v>
      </c>
      <c r="G582" s="7">
        <f t="shared" si="114"/>
        <v>0.6170606940185716</v>
      </c>
      <c r="H582" s="14">
        <v>75402</v>
      </c>
      <c r="I582" s="15">
        <f t="shared" si="115"/>
        <v>68429.72499999999</v>
      </c>
      <c r="J582" s="15">
        <f t="shared" si="116"/>
        <v>60321.600000000006</v>
      </c>
      <c r="K582" s="85">
        <f t="shared" si="117"/>
        <v>0</v>
      </c>
      <c r="L582" s="79">
        <v>60321.848</v>
      </c>
      <c r="M582" s="86">
        <f>ROUND(VLOOKUP(B582,גיליון1!A529:B1499,2,0),0)</f>
        <v>75402</v>
      </c>
      <c r="N582" s="108"/>
    </row>
    <row r="583" spans="1:14" ht="15.75">
      <c r="A583">
        <v>579</v>
      </c>
      <c r="B583" s="13">
        <v>580496792</v>
      </c>
      <c r="C583" s="13" t="s">
        <v>601</v>
      </c>
      <c r="D583" s="13" t="s">
        <v>70</v>
      </c>
      <c r="E583" s="6">
        <v>36822.75</v>
      </c>
      <c r="F583" s="6">
        <v>9607</v>
      </c>
      <c r="G583" s="7">
        <f t="shared" si="114"/>
        <v>0.26089849345852767</v>
      </c>
      <c r="H583" s="14">
        <v>9607</v>
      </c>
      <c r="I583" s="15">
        <f t="shared" si="115"/>
        <v>25775.925</v>
      </c>
      <c r="J583" s="15">
        <f t="shared" si="116"/>
        <v>7685.6</v>
      </c>
      <c r="K583" s="85">
        <f t="shared" si="117"/>
        <v>0</v>
      </c>
      <c r="L583" s="79">
        <v>14729.1</v>
      </c>
      <c r="M583" s="86">
        <f>ROUND(VLOOKUP(B583,גיליון1!A530:B1500,2,0),0)</f>
        <v>9607</v>
      </c>
      <c r="N583" s="108"/>
    </row>
    <row r="584" spans="1:14" ht="15.75">
      <c r="A584" s="3">
        <v>580</v>
      </c>
      <c r="B584" s="13">
        <v>580497048</v>
      </c>
      <c r="C584" s="13" t="s">
        <v>462</v>
      </c>
      <c r="D584" s="13" t="s">
        <v>59</v>
      </c>
      <c r="E584" s="6">
        <v>471350</v>
      </c>
      <c r="F584" s="6">
        <v>270723</v>
      </c>
      <c r="G584" s="7">
        <f t="shared" si="114"/>
        <v>0.5743566351967753</v>
      </c>
      <c r="H584" s="14">
        <v>495113</v>
      </c>
      <c r="I584" s="15">
        <f t="shared" si="115"/>
        <v>329945</v>
      </c>
      <c r="J584" s="15">
        <f t="shared" si="116"/>
        <v>396090.4</v>
      </c>
      <c r="K584" s="85">
        <f t="shared" si="117"/>
        <v>329945</v>
      </c>
      <c r="L584" s="79">
        <v>97464.5</v>
      </c>
      <c r="M584" s="86">
        <f>ROUND(VLOOKUP(B584,גיליון1!A531:B1501,2,0),0)</f>
        <v>460048</v>
      </c>
      <c r="N584" s="108"/>
    </row>
    <row r="585" spans="1:14" ht="15">
      <c r="A585">
        <v>581</v>
      </c>
      <c r="B585" s="18">
        <v>580497170</v>
      </c>
      <c r="C585" s="4" t="s">
        <v>298</v>
      </c>
      <c r="D585" s="4" t="s">
        <v>68</v>
      </c>
      <c r="E585" s="6">
        <v>15483.25</v>
      </c>
      <c r="F585" s="6">
        <v>10838</v>
      </c>
      <c r="G585" s="7">
        <f t="shared" si="114"/>
        <v>0.699982238871038</v>
      </c>
      <c r="H585" s="14">
        <v>17366</v>
      </c>
      <c r="I585" s="15">
        <f t="shared" si="115"/>
        <v>10838.275</v>
      </c>
      <c r="J585" s="15">
        <f t="shared" si="116"/>
        <v>13892.800000000001</v>
      </c>
      <c r="K585" s="85">
        <f t="shared" si="117"/>
        <v>10838</v>
      </c>
      <c r="L585" s="79">
        <v>10838.275</v>
      </c>
      <c r="M585" s="86">
        <f>ROUND(VLOOKUP(B585,גיליון1!A532:B1502,2,0),0)</f>
        <v>17366</v>
      </c>
      <c r="N585" s="108"/>
    </row>
    <row r="586" spans="1:14" ht="15.75">
      <c r="A586" s="3">
        <v>582</v>
      </c>
      <c r="B586" s="12">
        <v>580497758</v>
      </c>
      <c r="C586" s="13" t="s">
        <v>211</v>
      </c>
      <c r="D586" s="17" t="s">
        <v>68</v>
      </c>
      <c r="E586" s="6">
        <v>293064.75</v>
      </c>
      <c r="F586" s="6">
        <v>203636</v>
      </c>
      <c r="G586" s="7">
        <f t="shared" si="114"/>
        <v>0.6948498582651104</v>
      </c>
      <c r="H586" s="14">
        <v>254545</v>
      </c>
      <c r="I586" s="15">
        <f t="shared" si="115"/>
        <v>205145.32499999998</v>
      </c>
      <c r="J586" s="15">
        <f t="shared" si="116"/>
        <v>203636</v>
      </c>
      <c r="K586" s="85">
        <f t="shared" si="117"/>
        <v>203636</v>
      </c>
      <c r="L586" s="79">
        <v>203636</v>
      </c>
      <c r="M586" s="86">
        <f>ROUND(VLOOKUP(B586,גיליון1!A533:B1503,2,0),0)</f>
        <v>254544</v>
      </c>
      <c r="N586" s="108"/>
    </row>
    <row r="587" spans="1:14" ht="15.75">
      <c r="A587">
        <v>583</v>
      </c>
      <c r="B587" s="12">
        <v>580498012</v>
      </c>
      <c r="C587" s="13" t="s">
        <v>212</v>
      </c>
      <c r="D587" s="17" t="s">
        <v>59</v>
      </c>
      <c r="E587" s="6">
        <v>282201.5</v>
      </c>
      <c r="F587" s="6">
        <v>195708</v>
      </c>
      <c r="G587" s="7">
        <f t="shared" si="114"/>
        <v>0.6935044640088731</v>
      </c>
      <c r="H587" s="14">
        <v>244635</v>
      </c>
      <c r="I587" s="15">
        <f t="shared" si="115"/>
        <v>197541.05</v>
      </c>
      <c r="J587" s="15">
        <f t="shared" si="116"/>
        <v>195708</v>
      </c>
      <c r="K587" s="85">
        <f t="shared" si="117"/>
        <v>195708</v>
      </c>
      <c r="L587" s="79">
        <v>195708.232</v>
      </c>
      <c r="M587" s="86">
        <f>ROUND(VLOOKUP(B587,גיליון1!A534:B1504,2,0),0)</f>
        <v>244635</v>
      </c>
      <c r="N587" s="108"/>
    </row>
    <row r="588" spans="1:14" ht="15.75">
      <c r="A588" s="3">
        <v>584</v>
      </c>
      <c r="B588" s="12">
        <v>580498038</v>
      </c>
      <c r="C588" s="13" t="s">
        <v>704</v>
      </c>
      <c r="D588" s="13" t="s">
        <v>90</v>
      </c>
      <c r="E588" s="6">
        <v>60791.25</v>
      </c>
      <c r="F588" s="6">
        <v>42554</v>
      </c>
      <c r="G588" s="7">
        <f t="shared" si="114"/>
        <v>0.700002056216972</v>
      </c>
      <c r="H588" s="14">
        <v>120281</v>
      </c>
      <c r="I588" s="15">
        <f t="shared" si="115"/>
        <v>42553.875</v>
      </c>
      <c r="J588" s="15">
        <f t="shared" si="116"/>
        <v>96224.8</v>
      </c>
      <c r="K588" s="85">
        <f t="shared" si="117"/>
        <v>0</v>
      </c>
      <c r="L588" s="79">
        <v>42553.875</v>
      </c>
      <c r="M588" s="86">
        <f>ROUND(VLOOKUP(B588,גיליון1!A535:B1505,2,0),0)</f>
        <v>120278</v>
      </c>
      <c r="N588" s="108"/>
    </row>
    <row r="589" spans="1:14" ht="15.75">
      <c r="A589">
        <v>585</v>
      </c>
      <c r="B589" s="12">
        <v>580498244</v>
      </c>
      <c r="C589" s="13" t="s">
        <v>602</v>
      </c>
      <c r="D589" s="17" t="s">
        <v>59</v>
      </c>
      <c r="E589" s="6">
        <f>492319.5+350000</f>
        <v>842319.5</v>
      </c>
      <c r="F589" s="6">
        <v>246160</v>
      </c>
      <c r="G589" s="7">
        <f t="shared" si="114"/>
        <v>0.29224065215158856</v>
      </c>
      <c r="H589" s="14">
        <f>299037+350000</f>
        <v>649037</v>
      </c>
      <c r="I589" s="15">
        <f t="shared" si="115"/>
        <v>589623.6499999999</v>
      </c>
      <c r="J589" s="15">
        <f t="shared" si="116"/>
        <v>519229.60000000003</v>
      </c>
      <c r="K589" s="85">
        <f t="shared" si="117"/>
        <v>519230</v>
      </c>
      <c r="L589" s="79">
        <v>246159.75000000003</v>
      </c>
      <c r="M589" s="86">
        <f>ROUND(VLOOKUP(B589,גיליון1!A536:B1506,2,0),0)</f>
        <v>299037</v>
      </c>
      <c r="N589" s="108"/>
    </row>
    <row r="590" spans="1:14" ht="15.75">
      <c r="A590" s="3">
        <v>586</v>
      </c>
      <c r="B590" s="12">
        <v>580498251</v>
      </c>
      <c r="C590" s="13" t="s">
        <v>603</v>
      </c>
      <c r="D590" s="17" t="s">
        <v>59</v>
      </c>
      <c r="E590" s="6">
        <v>101764.5</v>
      </c>
      <c r="F590" s="6">
        <v>71235</v>
      </c>
      <c r="G590" s="7">
        <f t="shared" si="114"/>
        <v>0.6999985260085786</v>
      </c>
      <c r="H590" s="14">
        <v>100668</v>
      </c>
      <c r="I590" s="15">
        <f t="shared" si="115"/>
        <v>71235.15</v>
      </c>
      <c r="J590" s="15">
        <f t="shared" si="116"/>
        <v>80534.40000000001</v>
      </c>
      <c r="K590" s="85">
        <f t="shared" si="117"/>
        <v>71235</v>
      </c>
      <c r="L590" s="79">
        <v>71235.15</v>
      </c>
      <c r="M590" s="86">
        <f>ROUND(VLOOKUP(B590,גיליון1!A537:B1507,2,0),0)</f>
        <v>100668</v>
      </c>
      <c r="N590" s="108"/>
    </row>
    <row r="591" spans="1:14" ht="15.75">
      <c r="A591">
        <v>587</v>
      </c>
      <c r="B591" s="12">
        <v>580498509</v>
      </c>
      <c r="C591" s="13" t="s">
        <v>463</v>
      </c>
      <c r="D591" s="17" t="s">
        <v>59</v>
      </c>
      <c r="E591" s="6">
        <v>207121.25</v>
      </c>
      <c r="F591" s="6">
        <v>144984.875</v>
      </c>
      <c r="G591" s="7">
        <f t="shared" si="114"/>
        <v>0.7</v>
      </c>
      <c r="H591" s="14">
        <v>221700</v>
      </c>
      <c r="I591" s="15">
        <f t="shared" si="115"/>
        <v>144984.875</v>
      </c>
      <c r="J591" s="15">
        <f t="shared" si="116"/>
        <v>177360</v>
      </c>
      <c r="K591" s="85">
        <f t="shared" si="117"/>
        <v>144985</v>
      </c>
      <c r="L591" s="79">
        <v>144984.875</v>
      </c>
      <c r="M591" s="86">
        <f>ROUND(VLOOKUP(B591,גיליון1!A538:B1508,2,0),0)</f>
        <v>221703</v>
      </c>
      <c r="N591" s="108"/>
    </row>
    <row r="592" spans="1:14" ht="15.75">
      <c r="A592" s="3">
        <v>588</v>
      </c>
      <c r="B592" s="12">
        <v>580499150</v>
      </c>
      <c r="C592" s="13" t="s">
        <v>395</v>
      </c>
      <c r="D592" s="17" t="s">
        <v>59</v>
      </c>
      <c r="E592" s="6">
        <v>86167.25</v>
      </c>
      <c r="F592" s="6">
        <v>60317</v>
      </c>
      <c r="G592" s="7">
        <f t="shared" si="114"/>
        <v>0.6999991295997029</v>
      </c>
      <c r="H592" s="14">
        <v>83980</v>
      </c>
      <c r="I592" s="15">
        <f t="shared" si="115"/>
        <v>60317.075</v>
      </c>
      <c r="J592" s="15">
        <f t="shared" si="116"/>
        <v>67184</v>
      </c>
      <c r="K592" s="85">
        <f t="shared" si="117"/>
        <v>60317</v>
      </c>
      <c r="L592" s="79">
        <v>60317.075</v>
      </c>
      <c r="M592" s="86">
        <f>ROUND(VLOOKUP(B592,גיליון1!A539:B1509,2,0),0)</f>
        <v>83980</v>
      </c>
      <c r="N592" s="108"/>
    </row>
    <row r="593" spans="1:14" ht="15.75">
      <c r="A593">
        <v>589</v>
      </c>
      <c r="B593" s="12">
        <v>580500825</v>
      </c>
      <c r="C593" s="13" t="s">
        <v>299</v>
      </c>
      <c r="D593" s="17" t="s">
        <v>59</v>
      </c>
      <c r="E593" s="6">
        <v>296793</v>
      </c>
      <c r="F593" s="6">
        <v>207755</v>
      </c>
      <c r="G593" s="7">
        <f t="shared" si="114"/>
        <v>0.6999996630648297</v>
      </c>
      <c r="H593" s="14">
        <v>343206</v>
      </c>
      <c r="I593" s="15">
        <f t="shared" si="115"/>
        <v>207755.09999999998</v>
      </c>
      <c r="J593" s="15">
        <f t="shared" si="116"/>
        <v>274564.8</v>
      </c>
      <c r="K593" s="85">
        <f t="shared" si="117"/>
        <v>207755</v>
      </c>
      <c r="L593" s="79">
        <v>207755.09999999998</v>
      </c>
      <c r="M593" s="86">
        <f>ROUND(VLOOKUP(B593,גיליון1!A540:B1510,2,0),0)</f>
        <v>343205</v>
      </c>
      <c r="N593" s="108"/>
    </row>
    <row r="594" spans="1:14" ht="15.75">
      <c r="A594" s="3">
        <v>590</v>
      </c>
      <c r="B594" s="12">
        <v>580502698</v>
      </c>
      <c r="C594" s="13" t="s">
        <v>396</v>
      </c>
      <c r="D594" s="17" t="s">
        <v>59</v>
      </c>
      <c r="E594" s="6">
        <v>20656.25</v>
      </c>
      <c r="F594" s="6">
        <v>10328</v>
      </c>
      <c r="G594" s="7">
        <f t="shared" si="114"/>
        <v>0.4999939485627837</v>
      </c>
      <c r="H594" s="14">
        <v>17321</v>
      </c>
      <c r="I594" s="15">
        <f t="shared" si="115"/>
        <v>14459.374999999998</v>
      </c>
      <c r="J594" s="15">
        <f t="shared" si="116"/>
        <v>13856.800000000001</v>
      </c>
      <c r="K594" s="85">
        <f t="shared" si="117"/>
        <v>13857</v>
      </c>
      <c r="L594" s="79">
        <v>10328.125</v>
      </c>
      <c r="M594" s="86">
        <f>ROUND(VLOOKUP(B594,גיליון1!A541:B1511,2,0),0)</f>
        <v>17321</v>
      </c>
      <c r="N594" s="108"/>
    </row>
    <row r="595" spans="1:14" ht="15">
      <c r="A595">
        <v>591</v>
      </c>
      <c r="B595" s="31">
        <v>580502763</v>
      </c>
      <c r="C595" s="4" t="s">
        <v>464</v>
      </c>
      <c r="D595" s="4" t="s">
        <v>68</v>
      </c>
      <c r="E595" s="6">
        <v>50923.25</v>
      </c>
      <c r="F595" s="6">
        <v>25462</v>
      </c>
      <c r="G595" s="7">
        <f t="shared" si="114"/>
        <v>0.5000073640233096</v>
      </c>
      <c r="H595" s="14">
        <v>41926</v>
      </c>
      <c r="I595" s="15">
        <f t="shared" si="115"/>
        <v>35646.274999999994</v>
      </c>
      <c r="J595" s="15">
        <f t="shared" si="116"/>
        <v>33540.8</v>
      </c>
      <c r="K595" s="85">
        <f t="shared" si="117"/>
        <v>33541</v>
      </c>
      <c r="L595" s="79">
        <v>25461.625</v>
      </c>
      <c r="M595" s="86">
        <f>ROUND(VLOOKUP(B595,גיליון1!A542:B1512,2,0),0)</f>
        <v>41926</v>
      </c>
      <c r="N595" s="108"/>
    </row>
    <row r="596" spans="1:14" ht="15">
      <c r="A596" s="3">
        <v>592</v>
      </c>
      <c r="B596" s="18">
        <v>580503662</v>
      </c>
      <c r="C596" s="18" t="s">
        <v>705</v>
      </c>
      <c r="D596" s="4" t="s">
        <v>64</v>
      </c>
      <c r="E596" s="6">
        <v>5797</v>
      </c>
      <c r="F596" s="6">
        <v>2899</v>
      </c>
      <c r="G596" s="7">
        <f t="shared" si="114"/>
        <v>0.5000862515094014</v>
      </c>
      <c r="H596" s="14">
        <v>4007</v>
      </c>
      <c r="I596" s="15">
        <f t="shared" si="115"/>
        <v>4057.8999999999996</v>
      </c>
      <c r="J596" s="15">
        <f t="shared" si="116"/>
        <v>3205.6000000000004</v>
      </c>
      <c r="K596" s="85">
        <f t="shared" si="117"/>
        <v>3206</v>
      </c>
      <c r="L596" s="79">
        <v>2898.5</v>
      </c>
      <c r="M596" s="86">
        <f>ROUND(VLOOKUP(B596,גיליון1!A543:B1513,2,0),0)</f>
        <v>4007</v>
      </c>
      <c r="N596" s="108"/>
    </row>
    <row r="597" spans="1:14" ht="15">
      <c r="A597">
        <v>593</v>
      </c>
      <c r="B597" s="41">
        <v>580503928</v>
      </c>
      <c r="C597" s="42" t="s">
        <v>397</v>
      </c>
      <c r="D597" s="42" t="s">
        <v>68</v>
      </c>
      <c r="E597" s="6">
        <v>28242.5</v>
      </c>
      <c r="F597" s="6">
        <v>15681</v>
      </c>
      <c r="G597" s="7">
        <f t="shared" si="114"/>
        <v>0.5552270514295831</v>
      </c>
      <c r="H597" s="14">
        <v>19601</v>
      </c>
      <c r="I597" s="15">
        <f t="shared" si="115"/>
        <v>19769.75</v>
      </c>
      <c r="J597" s="15">
        <f t="shared" si="116"/>
        <v>15680.800000000001</v>
      </c>
      <c r="K597" s="85">
        <f t="shared" si="117"/>
        <v>0</v>
      </c>
      <c r="L597" s="79">
        <v>15680.720000000001</v>
      </c>
      <c r="M597" s="86">
        <f>ROUND(VLOOKUP(B597,גיליון1!A544:B1514,2,0),0)</f>
        <v>19601</v>
      </c>
      <c r="N597" s="108"/>
    </row>
    <row r="598" spans="1:14" ht="15.75">
      <c r="A598" s="3">
        <v>594</v>
      </c>
      <c r="B598" s="12">
        <v>580504496</v>
      </c>
      <c r="C598" s="13" t="s">
        <v>213</v>
      </c>
      <c r="D598" s="17" t="s">
        <v>59</v>
      </c>
      <c r="E598" s="6">
        <v>35288</v>
      </c>
      <c r="F598" s="6">
        <v>19371</v>
      </c>
      <c r="G598" s="7">
        <f t="shared" si="114"/>
        <v>0.5489401496259352</v>
      </c>
      <c r="H598" s="14">
        <v>24213</v>
      </c>
      <c r="I598" s="15">
        <f t="shared" si="115"/>
        <v>24701.6</v>
      </c>
      <c r="J598" s="15">
        <f t="shared" si="116"/>
        <v>19370.4</v>
      </c>
      <c r="K598" s="85">
        <f t="shared" si="117"/>
        <v>0</v>
      </c>
      <c r="L598" s="79">
        <v>19370.792</v>
      </c>
      <c r="M598" s="86">
        <f>ROUND(VLOOKUP(B598,גיליון1!A545:B1515,2,0),0)</f>
        <v>24213</v>
      </c>
      <c r="N598" s="108"/>
    </row>
    <row r="599" spans="1:14" ht="15.75">
      <c r="A599">
        <v>595</v>
      </c>
      <c r="B599" s="12">
        <v>580504660</v>
      </c>
      <c r="C599" s="13" t="s">
        <v>538</v>
      </c>
      <c r="D599" s="17" t="s">
        <v>59</v>
      </c>
      <c r="E599" s="6">
        <v>144825.75</v>
      </c>
      <c r="F599" s="6">
        <v>153298</v>
      </c>
      <c r="G599" s="7">
        <f t="shared" si="114"/>
        <v>1.0584996107391123</v>
      </c>
      <c r="H599" s="14">
        <v>246009</v>
      </c>
      <c r="I599" s="15">
        <f t="shared" si="115"/>
        <v>101378.025</v>
      </c>
      <c r="J599" s="15">
        <f t="shared" si="116"/>
        <v>196807.2</v>
      </c>
      <c r="K599" s="85">
        <f t="shared" si="117"/>
        <v>0</v>
      </c>
      <c r="L599" s="79">
        <v>153297.9</v>
      </c>
      <c r="M599" s="86">
        <f>ROUND(VLOOKUP(B599,גיליון1!A546:B1516,2,0),0)</f>
        <v>246011</v>
      </c>
      <c r="N599" s="108"/>
    </row>
    <row r="600" spans="1:14" ht="15.75">
      <c r="A600" s="3">
        <v>596</v>
      </c>
      <c r="B600" s="17">
        <v>580506566</v>
      </c>
      <c r="C600" s="43" t="s">
        <v>465</v>
      </c>
      <c r="D600" s="13" t="s">
        <v>64</v>
      </c>
      <c r="E600" s="6">
        <v>26607.25</v>
      </c>
      <c r="F600" s="6">
        <v>13304</v>
      </c>
      <c r="G600" s="7">
        <f t="shared" si="114"/>
        <v>0.5000140939029776</v>
      </c>
      <c r="H600" s="14">
        <v>25397</v>
      </c>
      <c r="I600" s="15">
        <f t="shared" si="115"/>
        <v>18625.074999999997</v>
      </c>
      <c r="J600" s="15">
        <f t="shared" si="116"/>
        <v>20317.600000000002</v>
      </c>
      <c r="K600" s="85">
        <f t="shared" si="117"/>
        <v>18625</v>
      </c>
      <c r="L600" s="79">
        <v>13303.625</v>
      </c>
      <c r="M600" s="86">
        <f>ROUND(VLOOKUP(B600,גיליון1!A547:B1517,2,0),0)</f>
        <v>25397</v>
      </c>
      <c r="N600" s="108"/>
    </row>
    <row r="601" spans="1:14" ht="15.75">
      <c r="A601">
        <v>597</v>
      </c>
      <c r="B601" s="12">
        <v>580507341</v>
      </c>
      <c r="C601" s="13" t="s">
        <v>466</v>
      </c>
      <c r="D601" s="17" t="s">
        <v>59</v>
      </c>
      <c r="E601" s="6">
        <v>199916</v>
      </c>
      <c r="F601" s="6">
        <v>139941</v>
      </c>
      <c r="G601" s="7">
        <f t="shared" si="114"/>
        <v>0.6999989995798235</v>
      </c>
      <c r="H601" s="14">
        <v>242315</v>
      </c>
      <c r="I601" s="15">
        <f t="shared" si="115"/>
        <v>139941.19999999998</v>
      </c>
      <c r="J601" s="15">
        <f t="shared" si="116"/>
        <v>193852</v>
      </c>
      <c r="K601" s="85">
        <f t="shared" si="117"/>
        <v>139941</v>
      </c>
      <c r="L601" s="79">
        <v>139941.19999999998</v>
      </c>
      <c r="M601" s="86">
        <f>ROUND(VLOOKUP(B601,גיליון1!A548:B1518,2,0),0)</f>
        <v>242315</v>
      </c>
      <c r="N601" s="108"/>
    </row>
    <row r="602" spans="1:14" ht="15.75">
      <c r="A602" s="3">
        <v>598</v>
      </c>
      <c r="B602" s="12">
        <v>580507531</v>
      </c>
      <c r="C602" s="13" t="s">
        <v>300</v>
      </c>
      <c r="D602" s="17" t="s">
        <v>59</v>
      </c>
      <c r="E602" s="6">
        <v>229691.25</v>
      </c>
      <c r="F602" s="6">
        <v>160784</v>
      </c>
      <c r="G602" s="7">
        <f t="shared" si="114"/>
        <v>0.700000544208802</v>
      </c>
      <c r="H602" s="14">
        <v>233209</v>
      </c>
      <c r="I602" s="15">
        <f t="shared" si="115"/>
        <v>160783.875</v>
      </c>
      <c r="J602" s="15">
        <f t="shared" si="116"/>
        <v>186567.2</v>
      </c>
      <c r="K602" s="85">
        <f t="shared" si="117"/>
        <v>0</v>
      </c>
      <c r="L602" s="79">
        <v>160783.875</v>
      </c>
      <c r="M602" s="86">
        <f>ROUND(VLOOKUP(B602,גיליון1!A549:B1519,2,0),0)</f>
        <v>233206</v>
      </c>
      <c r="N602" s="108"/>
    </row>
    <row r="603" spans="1:14" ht="15">
      <c r="A603">
        <v>599</v>
      </c>
      <c r="B603" s="18">
        <v>580507705</v>
      </c>
      <c r="C603" s="4" t="s">
        <v>738</v>
      </c>
      <c r="D603" s="4" t="s">
        <v>68</v>
      </c>
      <c r="E603" s="6">
        <v>15558.75</v>
      </c>
      <c r="F603" s="6">
        <v>7779</v>
      </c>
      <c r="G603" s="7">
        <f t="shared" si="114"/>
        <v>0.49997589780670043</v>
      </c>
      <c r="H603" s="14">
        <v>16201</v>
      </c>
      <c r="I603" s="15">
        <f t="shared" si="115"/>
        <v>10891.125</v>
      </c>
      <c r="J603" s="15">
        <f t="shared" si="116"/>
        <v>12960.800000000001</v>
      </c>
      <c r="K603" s="85">
        <f t="shared" si="117"/>
        <v>10891</v>
      </c>
      <c r="L603" s="79">
        <v>7779.375</v>
      </c>
      <c r="M603" s="86">
        <f>ROUND(VLOOKUP(B603,גיליון1!A550:B1520,2,0),0)</f>
        <v>16201</v>
      </c>
      <c r="N603" s="108"/>
    </row>
    <row r="604" spans="1:14" ht="15.75">
      <c r="A604" s="3">
        <v>600</v>
      </c>
      <c r="B604" s="13">
        <v>580507929</v>
      </c>
      <c r="C604" s="13" t="s">
        <v>398</v>
      </c>
      <c r="D604" s="13" t="s">
        <v>68</v>
      </c>
      <c r="E604" s="6">
        <v>23788.75</v>
      </c>
      <c r="F604" s="6">
        <v>11894</v>
      </c>
      <c r="G604" s="7">
        <f t="shared" si="114"/>
        <v>0.49998423624612476</v>
      </c>
      <c r="H604" s="14">
        <v>25375</v>
      </c>
      <c r="I604" s="15">
        <f t="shared" si="115"/>
        <v>16652.125</v>
      </c>
      <c r="J604" s="15">
        <f t="shared" si="116"/>
        <v>20300</v>
      </c>
      <c r="K604" s="85">
        <f t="shared" si="117"/>
        <v>16652</v>
      </c>
      <c r="L604" s="79">
        <v>11894.375</v>
      </c>
      <c r="M604" s="86">
        <f>ROUND(VLOOKUP(B604,גיליון1!A551:B1521,2,0),0)</f>
        <v>25375</v>
      </c>
      <c r="N604" s="108"/>
    </row>
    <row r="605" spans="1:14" ht="15.75">
      <c r="A605">
        <v>601</v>
      </c>
      <c r="B605" s="125">
        <v>580508919</v>
      </c>
      <c r="C605" s="46" t="s">
        <v>987</v>
      </c>
      <c r="D605" s="13"/>
      <c r="E605" s="116">
        <v>152174</v>
      </c>
      <c r="F605" s="116">
        <v>76087</v>
      </c>
      <c r="G605" s="117"/>
      <c r="H605" s="118">
        <v>158512</v>
      </c>
      <c r="I605" s="15"/>
      <c r="J605" s="15"/>
      <c r="K605" s="110"/>
      <c r="L605" s="79"/>
      <c r="M605" s="86"/>
      <c r="N605" s="108"/>
    </row>
    <row r="606" spans="1:14" ht="15.75">
      <c r="A606" s="3">
        <v>602</v>
      </c>
      <c r="B606" s="39">
        <v>580509065</v>
      </c>
      <c r="C606" s="13" t="s">
        <v>467</v>
      </c>
      <c r="D606" s="13" t="s">
        <v>64</v>
      </c>
      <c r="E606" s="6">
        <v>7512</v>
      </c>
      <c r="F606" s="6">
        <v>5258</v>
      </c>
      <c r="G606" s="7">
        <f aca="true" t="shared" si="118" ref="G606:G611">F606/E606</f>
        <v>0.6999467518636848</v>
      </c>
      <c r="H606" s="14">
        <v>10027</v>
      </c>
      <c r="I606" s="15">
        <f aca="true" t="shared" si="119" ref="I606:I611">E606*$I$2</f>
        <v>5258.4</v>
      </c>
      <c r="J606" s="15">
        <f aca="true" t="shared" si="120" ref="J606:J611">H606*$J$2</f>
        <v>8021.6</v>
      </c>
      <c r="K606" s="85">
        <f aca="true" t="shared" si="121" ref="K606:K611">ROUND(IF(IF(MIN(I606,J606)&lt;F606,MIN(I606,J606)-F606,MIN(I606,J606))&lt;0,0,IF(MIN(I606,J606)&lt;F606,MIN(I606,J606)-F606,MIN(I606,J606))),0)</f>
        <v>5258</v>
      </c>
      <c r="L606" s="79">
        <v>5258.4</v>
      </c>
      <c r="M606" s="86">
        <f>ROUND(VLOOKUP(B606,גיליון1!A552:B1522,2,0),0)</f>
        <v>10027</v>
      </c>
      <c r="N606" s="108"/>
    </row>
    <row r="607" spans="1:14" ht="15.75">
      <c r="A607">
        <v>603</v>
      </c>
      <c r="B607" s="12">
        <v>580509487</v>
      </c>
      <c r="C607" s="13" t="s">
        <v>569</v>
      </c>
      <c r="D607" s="17" t="s">
        <v>59</v>
      </c>
      <c r="E607" s="6">
        <v>275917</v>
      </c>
      <c r="F607" s="6">
        <v>193142</v>
      </c>
      <c r="G607" s="7">
        <f t="shared" si="118"/>
        <v>0.7000003624278316</v>
      </c>
      <c r="H607" s="14">
        <v>341978</v>
      </c>
      <c r="I607" s="15">
        <f t="shared" si="119"/>
        <v>193141.9</v>
      </c>
      <c r="J607" s="15">
        <f t="shared" si="120"/>
        <v>273582.4</v>
      </c>
      <c r="K607" s="85">
        <f t="shared" si="121"/>
        <v>0</v>
      </c>
      <c r="L607" s="79">
        <v>193141.9</v>
      </c>
      <c r="M607" s="86">
        <f>ROUND(VLOOKUP(B607,גיליון1!A553:B1523,2,0),0)</f>
        <v>341981</v>
      </c>
      <c r="N607" s="108"/>
    </row>
    <row r="608" spans="1:14" ht="15.75">
      <c r="A608" s="3">
        <v>604</v>
      </c>
      <c r="B608" s="12">
        <v>580509834</v>
      </c>
      <c r="C608" s="13" t="s">
        <v>759</v>
      </c>
      <c r="D608" s="17" t="s">
        <v>59</v>
      </c>
      <c r="E608" s="6">
        <v>84298</v>
      </c>
      <c r="F608" s="6">
        <v>42149</v>
      </c>
      <c r="G608" s="7">
        <f t="shared" si="118"/>
        <v>0.5</v>
      </c>
      <c r="H608" s="14">
        <v>115033</v>
      </c>
      <c r="I608" s="15">
        <f t="shared" si="119"/>
        <v>59008.6</v>
      </c>
      <c r="J608" s="15">
        <f t="shared" si="120"/>
        <v>92026.40000000001</v>
      </c>
      <c r="K608" s="85">
        <f t="shared" si="121"/>
        <v>59009</v>
      </c>
      <c r="L608" s="79">
        <v>42149</v>
      </c>
      <c r="M608" s="86">
        <f>ROUND(VLOOKUP(B608,גיליון1!A554:B1524,2,0),0)</f>
        <v>115033</v>
      </c>
      <c r="N608" s="108"/>
    </row>
    <row r="609" spans="1:14" ht="15.75">
      <c r="A609">
        <v>605</v>
      </c>
      <c r="B609" s="12">
        <v>580512325</v>
      </c>
      <c r="C609" s="13" t="s">
        <v>214</v>
      </c>
      <c r="D609" s="13" t="s">
        <v>56</v>
      </c>
      <c r="E609" s="6">
        <v>54335</v>
      </c>
      <c r="F609" s="6">
        <v>35251</v>
      </c>
      <c r="G609" s="7">
        <f t="shared" si="118"/>
        <v>0.648771510076378</v>
      </c>
      <c r="H609" s="14">
        <v>45493</v>
      </c>
      <c r="I609" s="15">
        <f t="shared" si="119"/>
        <v>38034.5</v>
      </c>
      <c r="J609" s="15">
        <f t="shared" si="120"/>
        <v>36394.4</v>
      </c>
      <c r="K609" s="85">
        <f t="shared" si="121"/>
        <v>36394</v>
      </c>
      <c r="L609" s="79">
        <v>3247.475</v>
      </c>
      <c r="M609" s="86">
        <f>ROUND(VLOOKUP(B609,גיליון1!A555:B1525,2,0),0)</f>
        <v>45493</v>
      </c>
      <c r="N609" s="108"/>
    </row>
    <row r="610" spans="1:14" ht="15.75">
      <c r="A610" s="3">
        <v>606</v>
      </c>
      <c r="B610" s="12">
        <v>580513133</v>
      </c>
      <c r="C610" s="13" t="s">
        <v>399</v>
      </c>
      <c r="D610" s="17" t="s">
        <v>59</v>
      </c>
      <c r="E610" s="6">
        <v>60562</v>
      </c>
      <c r="F610" s="6">
        <v>25279</v>
      </c>
      <c r="G610" s="7">
        <f t="shared" si="118"/>
        <v>0.41740695485618046</v>
      </c>
      <c r="H610" s="14">
        <v>25279</v>
      </c>
      <c r="I610" s="15">
        <f t="shared" si="119"/>
        <v>42393.399999999994</v>
      </c>
      <c r="J610" s="15">
        <f t="shared" si="120"/>
        <v>20223.2</v>
      </c>
      <c r="K610" s="85">
        <f t="shared" si="121"/>
        <v>0</v>
      </c>
      <c r="L610" s="79">
        <v>30281</v>
      </c>
      <c r="M610" s="86">
        <f>ROUND(VLOOKUP(B610,גיליון1!A556:B1526,2,0),0)</f>
        <v>25278</v>
      </c>
      <c r="N610" s="108"/>
    </row>
    <row r="611" spans="1:14" ht="15.75">
      <c r="A611">
        <v>607</v>
      </c>
      <c r="B611" s="12">
        <v>580513802</v>
      </c>
      <c r="C611" s="13" t="s">
        <v>400</v>
      </c>
      <c r="D611" s="17" t="s">
        <v>59</v>
      </c>
      <c r="E611" s="6">
        <v>104537</v>
      </c>
      <c r="F611" s="6">
        <v>73176</v>
      </c>
      <c r="G611" s="7">
        <f t="shared" si="118"/>
        <v>0.7000009565990989</v>
      </c>
      <c r="H611" s="14">
        <v>94963</v>
      </c>
      <c r="I611" s="15">
        <f t="shared" si="119"/>
        <v>73175.9</v>
      </c>
      <c r="J611" s="15">
        <f t="shared" si="120"/>
        <v>75970.40000000001</v>
      </c>
      <c r="K611" s="85">
        <f t="shared" si="121"/>
        <v>0</v>
      </c>
      <c r="L611" s="79">
        <v>73175.9</v>
      </c>
      <c r="M611" s="86">
        <f>ROUND(VLOOKUP(B611,גיליון1!A557:B1527,2,0),0)</f>
        <v>94962</v>
      </c>
      <c r="N611" s="108"/>
    </row>
    <row r="612" spans="1:14" ht="15.75">
      <c r="A612" s="3">
        <v>608</v>
      </c>
      <c r="B612" s="18">
        <v>580513885</v>
      </c>
      <c r="C612" s="18" t="s">
        <v>1103</v>
      </c>
      <c r="D612" s="13"/>
      <c r="E612" s="116"/>
      <c r="F612" s="116"/>
      <c r="G612" s="117"/>
      <c r="H612" s="118">
        <v>62803</v>
      </c>
      <c r="I612" s="15"/>
      <c r="J612" s="15"/>
      <c r="K612" s="110"/>
      <c r="L612" s="79"/>
      <c r="M612" s="86"/>
      <c r="N612" s="108"/>
    </row>
    <row r="613" spans="1:14" ht="15.75">
      <c r="A613">
        <v>609</v>
      </c>
      <c r="B613" s="12">
        <v>580513927</v>
      </c>
      <c r="C613" s="77" t="s">
        <v>725</v>
      </c>
      <c r="D613" s="4" t="s">
        <v>68</v>
      </c>
      <c r="E613" s="6">
        <v>113659</v>
      </c>
      <c r="F613" s="6">
        <v>64590.65600000001</v>
      </c>
      <c r="G613" s="7">
        <f aca="true" t="shared" si="122" ref="G613:G620">F613/E613</f>
        <v>0.5682845705135537</v>
      </c>
      <c r="H613" s="14">
        <v>80738</v>
      </c>
      <c r="I613" s="15">
        <f aca="true" t="shared" si="123" ref="I613:I620">E613*$I$2</f>
        <v>79561.29999999999</v>
      </c>
      <c r="J613" s="15">
        <f aca="true" t="shared" si="124" ref="J613:J620">H613*$J$2</f>
        <v>64590.4</v>
      </c>
      <c r="K613" s="85">
        <f aca="true" t="shared" si="125" ref="K613:K620">ROUND(IF(IF(MIN(I613,J613)&lt;F613,MIN(I613,J613)-F613,MIN(I613,J613))&lt;0,0,IF(MIN(I613,J613)&lt;F613,MIN(I613,J613)-F613,MIN(I613,J613))),0)</f>
        <v>0</v>
      </c>
      <c r="L613" s="79">
        <v>64590.65600000001</v>
      </c>
      <c r="M613" s="86">
        <f>ROUND(VLOOKUP(B613,גיליון1!A558:B1528,2,0),0)</f>
        <v>80738</v>
      </c>
      <c r="N613" s="108"/>
    </row>
    <row r="614" spans="1:14" ht="15.75">
      <c r="A614" s="3">
        <v>610</v>
      </c>
      <c r="B614" s="92">
        <v>580514610</v>
      </c>
      <c r="C614" s="76" t="s">
        <v>570</v>
      </c>
      <c r="D614" s="146" t="s">
        <v>59</v>
      </c>
      <c r="E614" s="6">
        <v>50032.25</v>
      </c>
      <c r="F614" s="6">
        <v>25016</v>
      </c>
      <c r="G614" s="7">
        <f t="shared" si="122"/>
        <v>0.4999975016114606</v>
      </c>
      <c r="H614" s="14">
        <v>40535</v>
      </c>
      <c r="I614" s="15">
        <f t="shared" si="123"/>
        <v>35022.575</v>
      </c>
      <c r="J614" s="15">
        <f t="shared" si="124"/>
        <v>32428</v>
      </c>
      <c r="K614" s="85">
        <f t="shared" si="125"/>
        <v>32428</v>
      </c>
      <c r="L614" s="79">
        <v>25016.125</v>
      </c>
      <c r="M614" s="86">
        <f>ROUND(VLOOKUP(B614,גיליון1!A559:B1529,2,0),0)</f>
        <v>47550</v>
      </c>
      <c r="N614" s="108"/>
    </row>
    <row r="615" spans="1:14" ht="15.75">
      <c r="A615">
        <v>611</v>
      </c>
      <c r="B615" s="12">
        <v>580515021</v>
      </c>
      <c r="C615" s="13" t="s">
        <v>401</v>
      </c>
      <c r="D615" s="13" t="s">
        <v>56</v>
      </c>
      <c r="E615" s="6">
        <v>4500</v>
      </c>
      <c r="F615" s="6">
        <v>1800</v>
      </c>
      <c r="G615" s="7">
        <f t="shared" si="122"/>
        <v>0.4</v>
      </c>
      <c r="H615" s="14">
        <v>8526</v>
      </c>
      <c r="I615" s="15">
        <f t="shared" si="123"/>
        <v>3150</v>
      </c>
      <c r="J615" s="15">
        <f t="shared" si="124"/>
        <v>6820.8</v>
      </c>
      <c r="K615" s="85">
        <f t="shared" si="125"/>
        <v>3150</v>
      </c>
      <c r="L615" s="79">
        <v>1800</v>
      </c>
      <c r="M615" s="86">
        <f>ROUND(VLOOKUP(B615,גיליון1!A560:B1530,2,0),0)</f>
        <v>8526</v>
      </c>
      <c r="N615" s="108"/>
    </row>
    <row r="616" spans="1:14" ht="15.75">
      <c r="A616" s="3">
        <v>612</v>
      </c>
      <c r="B616" s="61">
        <v>580515831</v>
      </c>
      <c r="C616" s="62" t="s">
        <v>402</v>
      </c>
      <c r="D616" s="78" t="s">
        <v>59</v>
      </c>
      <c r="E616" s="6">
        <v>17518.75</v>
      </c>
      <c r="F616" s="6">
        <v>8759</v>
      </c>
      <c r="G616" s="7">
        <f t="shared" si="122"/>
        <v>0.4999785943631823</v>
      </c>
      <c r="H616" s="14">
        <v>10915</v>
      </c>
      <c r="I616" s="15">
        <f t="shared" si="123"/>
        <v>12263.125</v>
      </c>
      <c r="J616" s="15">
        <f t="shared" si="124"/>
        <v>8732</v>
      </c>
      <c r="K616" s="85">
        <f t="shared" si="125"/>
        <v>0</v>
      </c>
      <c r="L616" s="79">
        <v>8759.375</v>
      </c>
      <c r="M616" s="86">
        <f>ROUND(VLOOKUP(B616,גיליון1!A561:B1531,2,0),0)</f>
        <v>10915</v>
      </c>
      <c r="N616" s="108"/>
    </row>
    <row r="617" spans="1:14" ht="15.75">
      <c r="A617">
        <v>613</v>
      </c>
      <c r="B617" s="141">
        <v>580516722</v>
      </c>
      <c r="C617" s="62" t="s">
        <v>744</v>
      </c>
      <c r="D617" s="62" t="s">
        <v>59</v>
      </c>
      <c r="E617" s="6">
        <v>24658.5</v>
      </c>
      <c r="F617" s="6">
        <v>17260.949999999997</v>
      </c>
      <c r="G617" s="7">
        <f t="shared" si="122"/>
        <v>0.6999999999999998</v>
      </c>
      <c r="H617" s="14">
        <v>27585</v>
      </c>
      <c r="I617" s="15">
        <f t="shared" si="123"/>
        <v>17260.949999999997</v>
      </c>
      <c r="J617" s="15">
        <f t="shared" si="124"/>
        <v>22068</v>
      </c>
      <c r="K617" s="85">
        <f t="shared" si="125"/>
        <v>17261</v>
      </c>
      <c r="L617" s="79">
        <v>17260.949999999997</v>
      </c>
      <c r="M617" s="86">
        <f>ROUND(VLOOKUP(B617,גיליון1!A562:B1532,2,0),0)</f>
        <v>27585</v>
      </c>
      <c r="N617" s="108"/>
    </row>
    <row r="618" spans="1:14" ht="15.75">
      <c r="A618" s="3">
        <v>614</v>
      </c>
      <c r="B618" s="62">
        <v>580518942</v>
      </c>
      <c r="C618" s="62" t="s">
        <v>468</v>
      </c>
      <c r="D618" s="145" t="s">
        <v>90</v>
      </c>
      <c r="E618" s="6">
        <v>85708.75</v>
      </c>
      <c r="F618" s="6">
        <v>42854</v>
      </c>
      <c r="G618" s="7">
        <f t="shared" si="122"/>
        <v>0.49999562471742964</v>
      </c>
      <c r="H618" s="14">
        <v>58334</v>
      </c>
      <c r="I618" s="15">
        <f t="shared" si="123"/>
        <v>59996.12499999999</v>
      </c>
      <c r="J618" s="15">
        <f t="shared" si="124"/>
        <v>46667.200000000004</v>
      </c>
      <c r="K618" s="85">
        <f t="shared" si="125"/>
        <v>46667</v>
      </c>
      <c r="L618" s="79">
        <v>42854.375</v>
      </c>
      <c r="M618" s="86">
        <f>ROUND(VLOOKUP(B618,גיליון1!A563:B1533,2,0),0)</f>
        <v>58334</v>
      </c>
      <c r="N618" s="108"/>
    </row>
    <row r="619" spans="1:14" ht="15.75">
      <c r="A619">
        <v>615</v>
      </c>
      <c r="B619" s="61">
        <v>580519932</v>
      </c>
      <c r="C619" s="62" t="s">
        <v>403</v>
      </c>
      <c r="D619" s="78" t="s">
        <v>59</v>
      </c>
      <c r="E619" s="6">
        <v>175165</v>
      </c>
      <c r="F619" s="6">
        <v>122616</v>
      </c>
      <c r="G619" s="7">
        <f t="shared" si="122"/>
        <v>0.7000028544515171</v>
      </c>
      <c r="H619" s="14">
        <v>166370</v>
      </c>
      <c r="I619" s="15">
        <f t="shared" si="123"/>
        <v>122615.49999999999</v>
      </c>
      <c r="J619" s="15">
        <f t="shared" si="124"/>
        <v>133096</v>
      </c>
      <c r="K619" s="85">
        <f t="shared" si="125"/>
        <v>0</v>
      </c>
      <c r="L619" s="79">
        <v>122615.49999999999</v>
      </c>
      <c r="M619" s="86">
        <f>ROUND(VLOOKUP(B619,גיליון1!A564:B1534,2,0),0)</f>
        <v>166369</v>
      </c>
      <c r="N619" s="108"/>
    </row>
    <row r="620" spans="1:14" ht="15.75">
      <c r="A620" s="3">
        <v>616</v>
      </c>
      <c r="B620" s="140">
        <v>580520559</v>
      </c>
      <c r="C620" s="139" t="s">
        <v>215</v>
      </c>
      <c r="D620" s="148" t="s">
        <v>59</v>
      </c>
      <c r="E620" s="6">
        <v>63591</v>
      </c>
      <c r="F620" s="6">
        <v>43489</v>
      </c>
      <c r="G620" s="7">
        <f t="shared" si="122"/>
        <v>0.6838860845088142</v>
      </c>
      <c r="H620" s="14">
        <v>67851</v>
      </c>
      <c r="I620" s="15">
        <f t="shared" si="123"/>
        <v>44513.7</v>
      </c>
      <c r="J620" s="15">
        <f t="shared" si="124"/>
        <v>54280.8</v>
      </c>
      <c r="K620" s="85">
        <f t="shared" si="125"/>
        <v>44514</v>
      </c>
      <c r="L620" s="79">
        <v>43488.6</v>
      </c>
      <c r="M620" s="86">
        <f>ROUND(VLOOKUP(B620,גיליון1!A565:B1535,2,0),0)</f>
        <v>67851</v>
      </c>
      <c r="N620" s="108"/>
    </row>
    <row r="621" spans="1:14" ht="15.75">
      <c r="A621">
        <v>617</v>
      </c>
      <c r="B621" s="137">
        <v>580521847</v>
      </c>
      <c r="C621" s="138" t="s">
        <v>1085</v>
      </c>
      <c r="D621" s="62"/>
      <c r="E621" s="116">
        <v>3847</v>
      </c>
      <c r="F621" s="116">
        <v>1515</v>
      </c>
      <c r="G621" s="117"/>
      <c r="H621" s="118">
        <v>3029</v>
      </c>
      <c r="I621" s="15"/>
      <c r="J621" s="15"/>
      <c r="K621" s="110"/>
      <c r="L621" s="79"/>
      <c r="M621" s="86"/>
      <c r="N621" s="108"/>
    </row>
    <row r="622" spans="1:14" ht="15">
      <c r="A622" s="3">
        <v>618</v>
      </c>
      <c r="B622" s="142">
        <v>580522647</v>
      </c>
      <c r="C622" s="142" t="s">
        <v>739</v>
      </c>
      <c r="D622" s="147" t="s">
        <v>59</v>
      </c>
      <c r="E622" s="6">
        <v>90156</v>
      </c>
      <c r="F622" s="6">
        <v>45078</v>
      </c>
      <c r="G622" s="7">
        <f>F622/E622</f>
        <v>0.5</v>
      </c>
      <c r="H622" s="14">
        <v>69653</v>
      </c>
      <c r="I622" s="15">
        <f>E622*$I$2</f>
        <v>63109.2</v>
      </c>
      <c r="J622" s="15">
        <f>H622*$J$2</f>
        <v>55722.4</v>
      </c>
      <c r="K622" s="85">
        <f>ROUND(IF(IF(MIN(I622,J622)&lt;F622,MIN(I622,J622)-F622,MIN(I622,J622))&lt;0,0,IF(MIN(I622,J622)&lt;F622,MIN(I622,J622)-F622,MIN(I622,J622))),0)</f>
        <v>55722</v>
      </c>
      <c r="L622" s="79">
        <v>45078</v>
      </c>
      <c r="M622" s="86">
        <f>ROUND(VLOOKUP(B622,גיליון1!A566:B1536,2,0),0)</f>
        <v>69653</v>
      </c>
      <c r="N622" s="108"/>
    </row>
    <row r="623" spans="1:14" ht="15.75">
      <c r="A623">
        <v>619</v>
      </c>
      <c r="B623" s="93">
        <v>580523637</v>
      </c>
      <c r="C623" s="62" t="s">
        <v>571</v>
      </c>
      <c r="D623" s="78" t="s">
        <v>59</v>
      </c>
      <c r="E623" s="6">
        <v>113895.75</v>
      </c>
      <c r="F623" s="6">
        <v>79727</v>
      </c>
      <c r="G623" s="7">
        <f>F623/E623</f>
        <v>0.6999997805010284</v>
      </c>
      <c r="H623" s="14">
        <v>136861</v>
      </c>
      <c r="I623" s="15">
        <f>E623*$I$2</f>
        <v>79727.025</v>
      </c>
      <c r="J623" s="15">
        <f>H623*$J$2</f>
        <v>109488.8</v>
      </c>
      <c r="K623" s="85">
        <f>ROUND(IF(IF(MIN(I623,J623)&lt;F623,MIN(I623,J623)-F623,MIN(I623,J623))&lt;0,0,IF(MIN(I623,J623)&lt;F623,MIN(I623,J623)-F623,MIN(I623,J623))),0)</f>
        <v>79727</v>
      </c>
      <c r="L623" s="79">
        <v>79727.025</v>
      </c>
      <c r="M623" s="86">
        <f>ROUND(VLOOKUP(B623,גיליון1!A567:B1537,2,0),0)</f>
        <v>136862</v>
      </c>
      <c r="N623" s="108"/>
    </row>
    <row r="624" spans="1:14" ht="15.75">
      <c r="A624" s="3">
        <v>620</v>
      </c>
      <c r="B624" s="61">
        <v>580525004</v>
      </c>
      <c r="C624" s="143" t="s">
        <v>726</v>
      </c>
      <c r="D624" s="147" t="s">
        <v>59</v>
      </c>
      <c r="E624" s="6">
        <v>113725.5</v>
      </c>
      <c r="F624" s="6">
        <v>56863</v>
      </c>
      <c r="G624" s="7">
        <f>F624/E624</f>
        <v>0.5000021982756726</v>
      </c>
      <c r="H624" s="14">
        <v>227550</v>
      </c>
      <c r="I624" s="15">
        <f>E624*$I$2</f>
        <v>79607.84999999999</v>
      </c>
      <c r="J624" s="15">
        <f>H624*$J$2</f>
        <v>182040</v>
      </c>
      <c r="K624" s="85">
        <f>ROUND(IF(IF(MIN(I624,J624)&lt;F624,MIN(I624,J624)-F624,MIN(I624,J624))&lt;0,0,IF(MIN(I624,J624)&lt;F624,MIN(I624,J624)-F624,MIN(I624,J624))),0)</f>
        <v>79608</v>
      </c>
      <c r="L624" s="79">
        <v>56862.75000000001</v>
      </c>
      <c r="M624" s="86">
        <f>ROUND(VLOOKUP(B624,גיליון1!A568:B1538,2,0),0)</f>
        <v>227551</v>
      </c>
      <c r="N624" s="108"/>
    </row>
    <row r="625" spans="1:14" ht="15.75">
      <c r="A625">
        <v>621</v>
      </c>
      <c r="B625" s="137">
        <v>580527372</v>
      </c>
      <c r="C625" s="138" t="s">
        <v>990</v>
      </c>
      <c r="D625" s="62"/>
      <c r="E625" s="116">
        <v>14738</v>
      </c>
      <c r="F625" s="116">
        <v>7369</v>
      </c>
      <c r="G625" s="117"/>
      <c r="H625" s="118">
        <v>17526</v>
      </c>
      <c r="I625" s="15"/>
      <c r="J625" s="15"/>
      <c r="K625" s="110"/>
      <c r="L625" s="79"/>
      <c r="M625" s="86"/>
      <c r="N625" s="108"/>
    </row>
    <row r="626" spans="1:14" ht="15.75">
      <c r="A626" s="3">
        <v>622</v>
      </c>
      <c r="B626" s="61">
        <v>580527430</v>
      </c>
      <c r="C626" s="62" t="s">
        <v>404</v>
      </c>
      <c r="D626" s="62" t="s">
        <v>56</v>
      </c>
      <c r="E626" s="6">
        <v>65860</v>
      </c>
      <c r="F626" s="6">
        <v>46102</v>
      </c>
      <c r="G626" s="7">
        <f>F626/E626</f>
        <v>0.7</v>
      </c>
      <c r="H626" s="14">
        <v>83793</v>
      </c>
      <c r="I626" s="15">
        <f>E626*$I$2</f>
        <v>46102</v>
      </c>
      <c r="J626" s="15">
        <f>H626*$J$2</f>
        <v>67034.40000000001</v>
      </c>
      <c r="K626" s="85">
        <f>ROUND(IF(IF(MIN(I626,J626)&lt;F626,MIN(I626,J626)-F626,MIN(I626,J626))&lt;0,0,IF(MIN(I626,J626)&lt;F626,MIN(I626,J626)-F626,MIN(I626,J626))),0)</f>
        <v>46102</v>
      </c>
      <c r="L626" s="79">
        <v>46102</v>
      </c>
      <c r="M626" s="86">
        <f>ROUND(VLOOKUP(B626,גיליון1!A569:B1539,2,0),0)</f>
        <v>83793</v>
      </c>
      <c r="N626" s="108"/>
    </row>
    <row r="627" spans="1:14" ht="15.75">
      <c r="A627">
        <v>623</v>
      </c>
      <c r="B627" s="93">
        <v>580527802</v>
      </c>
      <c r="C627" s="62" t="s">
        <v>216</v>
      </c>
      <c r="D627" s="78" t="s">
        <v>59</v>
      </c>
      <c r="E627" s="6">
        <v>112171</v>
      </c>
      <c r="F627" s="6">
        <v>62596</v>
      </c>
      <c r="G627" s="7">
        <f>F627/E627</f>
        <v>0.5580408483476121</v>
      </c>
      <c r="H627" s="14">
        <v>141305</v>
      </c>
      <c r="I627" s="15">
        <f>E627*$I$2</f>
        <v>78519.7</v>
      </c>
      <c r="J627" s="15">
        <f>H627*$J$2</f>
        <v>113044</v>
      </c>
      <c r="K627" s="85">
        <f>ROUND(IF(IF(MIN(I627,J627)&lt;F627,MIN(I627,J627)-F627,MIN(I627,J627))&lt;0,0,IF(MIN(I627,J627)&lt;F627,MIN(I627,J627)-F627,MIN(I627,J627))),0)</f>
        <v>78520</v>
      </c>
      <c r="L627" s="79">
        <v>46287.5</v>
      </c>
      <c r="M627" s="86">
        <f>ROUND(VLOOKUP(B627,גיליון1!A570:B1540,2,0),0)</f>
        <v>135006</v>
      </c>
      <c r="N627" s="108"/>
    </row>
    <row r="628" spans="1:14" ht="15.75">
      <c r="A628" s="3">
        <v>624</v>
      </c>
      <c r="B628" s="138">
        <v>580528214</v>
      </c>
      <c r="C628" s="138" t="s">
        <v>1086</v>
      </c>
      <c r="D628" s="62"/>
      <c r="E628" s="116">
        <v>7603</v>
      </c>
      <c r="F628" s="116">
        <v>3801</v>
      </c>
      <c r="G628" s="117"/>
      <c r="H628" s="118">
        <v>13922</v>
      </c>
      <c r="I628" s="15"/>
      <c r="J628" s="15"/>
      <c r="K628" s="110"/>
      <c r="L628" s="79"/>
      <c r="M628" s="86"/>
      <c r="N628" s="108"/>
    </row>
    <row r="629" spans="1:14" ht="15.75">
      <c r="A629">
        <v>625</v>
      </c>
      <c r="B629" s="137">
        <v>580529063</v>
      </c>
      <c r="C629" s="138" t="s">
        <v>992</v>
      </c>
      <c r="D629" s="62"/>
      <c r="E629" s="116">
        <v>176334</v>
      </c>
      <c r="F629" s="116">
        <v>55903</v>
      </c>
      <c r="G629" s="117"/>
      <c r="H629" s="118">
        <v>164145</v>
      </c>
      <c r="I629" s="15"/>
      <c r="J629" s="15"/>
      <c r="K629" s="110"/>
      <c r="L629" s="79"/>
      <c r="M629" s="86"/>
      <c r="N629" s="108"/>
    </row>
    <row r="630" spans="1:14" ht="15.75">
      <c r="A630" s="3">
        <v>626</v>
      </c>
      <c r="B630" s="139">
        <v>580529105</v>
      </c>
      <c r="C630" s="139" t="s">
        <v>469</v>
      </c>
      <c r="D630" s="139" t="s">
        <v>64</v>
      </c>
      <c r="E630" s="6">
        <v>55442</v>
      </c>
      <c r="F630" s="6">
        <v>14019</v>
      </c>
      <c r="G630" s="7">
        <f aca="true" t="shared" si="126" ref="G630:G653">F630/E630</f>
        <v>0.2528588434760651</v>
      </c>
      <c r="H630" s="14">
        <v>54675</v>
      </c>
      <c r="I630" s="15">
        <f aca="true" t="shared" si="127" ref="I630:I653">E630*$I$2</f>
        <v>38809.399999999994</v>
      </c>
      <c r="J630" s="15">
        <f aca="true" t="shared" si="128" ref="J630:J653">H630*$J$2</f>
        <v>43740</v>
      </c>
      <c r="K630" s="85">
        <f aca="true" t="shared" si="129" ref="K630:K653">ROUND(IF(IF(MIN(I630,J630)&lt;F630,MIN(I630,J630)-F630,MIN(I630,J630))&lt;0,0,IF(MIN(I630,J630)&lt;F630,MIN(I630,J630)-F630,MIN(I630,J630))),0)</f>
        <v>38809</v>
      </c>
      <c r="L630" s="79">
        <v>14019.199999999999</v>
      </c>
      <c r="M630" s="86">
        <f>ROUND(VLOOKUP(B630,גיליון1!A571:B1541,2,0),0)</f>
        <v>54675</v>
      </c>
      <c r="N630" s="108"/>
    </row>
    <row r="631" spans="1:14" ht="15.75">
      <c r="A631">
        <v>627</v>
      </c>
      <c r="B631" s="12">
        <v>580530228</v>
      </c>
      <c r="C631" s="13" t="s">
        <v>470</v>
      </c>
      <c r="D631" s="13" t="s">
        <v>56</v>
      </c>
      <c r="E631" s="6">
        <v>50845.8</v>
      </c>
      <c r="F631" s="6">
        <v>35592</v>
      </c>
      <c r="G631" s="7">
        <f t="shared" si="126"/>
        <v>0.6999988199615307</v>
      </c>
      <c r="H631" s="14">
        <v>82674</v>
      </c>
      <c r="I631" s="15">
        <f t="shared" si="127"/>
        <v>35592.06</v>
      </c>
      <c r="J631" s="15">
        <f t="shared" si="128"/>
        <v>66139.2</v>
      </c>
      <c r="K631" s="85">
        <f t="shared" si="129"/>
        <v>35592</v>
      </c>
      <c r="L631" s="79">
        <v>35592.06</v>
      </c>
      <c r="M631" s="86">
        <f>ROUND(VLOOKUP(B631,גיליון1!A572:B1542,2,0),0)</f>
        <v>82674</v>
      </c>
      <c r="N631" s="108"/>
    </row>
    <row r="632" spans="1:14" ht="15.75">
      <c r="A632" s="3">
        <v>628</v>
      </c>
      <c r="B632" s="12">
        <v>580530376</v>
      </c>
      <c r="C632" s="13" t="s">
        <v>572</v>
      </c>
      <c r="D632" s="17" t="s">
        <v>59</v>
      </c>
      <c r="E632" s="6">
        <v>33814.75</v>
      </c>
      <c r="F632" s="6">
        <v>23670.324999999997</v>
      </c>
      <c r="G632" s="7">
        <f t="shared" si="126"/>
        <v>0.7</v>
      </c>
      <c r="H632" s="14">
        <v>29812</v>
      </c>
      <c r="I632" s="15">
        <f t="shared" si="127"/>
        <v>23670.324999999997</v>
      </c>
      <c r="J632" s="15">
        <f t="shared" si="128"/>
        <v>23849.600000000002</v>
      </c>
      <c r="K632" s="85">
        <f t="shared" si="129"/>
        <v>23670</v>
      </c>
      <c r="L632" s="79">
        <v>23670.324999999997</v>
      </c>
      <c r="M632" s="86">
        <f>ROUND(VLOOKUP(B632,גיליון1!A573:B1543,2,0),0)</f>
        <v>29812</v>
      </c>
      <c r="N632" s="108"/>
    </row>
    <row r="633" spans="1:14" ht="15.75">
      <c r="A633">
        <v>629</v>
      </c>
      <c r="B633" s="12">
        <v>580530814</v>
      </c>
      <c r="C633" s="13" t="s">
        <v>405</v>
      </c>
      <c r="D633" s="17" t="s">
        <v>59</v>
      </c>
      <c r="E633" s="6">
        <v>233183</v>
      </c>
      <c r="F633" s="6">
        <v>163228</v>
      </c>
      <c r="G633" s="7">
        <f t="shared" si="126"/>
        <v>0.699999571152271</v>
      </c>
      <c r="H633" s="14">
        <v>259911</v>
      </c>
      <c r="I633" s="15">
        <f t="shared" si="127"/>
        <v>163228.09999999998</v>
      </c>
      <c r="J633" s="15">
        <f t="shared" si="128"/>
        <v>207928.80000000002</v>
      </c>
      <c r="K633" s="85">
        <f t="shared" si="129"/>
        <v>163228</v>
      </c>
      <c r="L633" s="79">
        <v>163228.09999999998</v>
      </c>
      <c r="M633" s="86">
        <f>ROUND(VLOOKUP(B633,גיליון1!A574:B1544,2,0),0)</f>
        <v>259909</v>
      </c>
      <c r="N633" s="108"/>
    </row>
    <row r="634" spans="1:14" ht="15.75">
      <c r="A634" s="3">
        <v>630</v>
      </c>
      <c r="B634" s="12">
        <v>580530897</v>
      </c>
      <c r="C634" s="77" t="s">
        <v>727</v>
      </c>
      <c r="D634" s="4" t="s">
        <v>59</v>
      </c>
      <c r="E634" s="6">
        <v>15316.75</v>
      </c>
      <c r="F634" s="6">
        <v>6127</v>
      </c>
      <c r="G634" s="7">
        <f t="shared" si="126"/>
        <v>0.4000195864005092</v>
      </c>
      <c r="H634" s="14">
        <v>10727</v>
      </c>
      <c r="I634" s="15">
        <f t="shared" si="127"/>
        <v>10721.724999999999</v>
      </c>
      <c r="J634" s="15">
        <f t="shared" si="128"/>
        <v>8581.6</v>
      </c>
      <c r="K634" s="85">
        <f t="shared" si="129"/>
        <v>8582</v>
      </c>
      <c r="L634" s="79">
        <v>6126.700000000001</v>
      </c>
      <c r="M634" s="86">
        <f>ROUND(VLOOKUP(B634,גיליון1!A575:B1545,2,0),0)</f>
        <v>10727</v>
      </c>
      <c r="N634" s="108"/>
    </row>
    <row r="635" spans="1:14" ht="15">
      <c r="A635">
        <v>631</v>
      </c>
      <c r="B635" s="44">
        <v>580531317</v>
      </c>
      <c r="C635" s="42" t="s">
        <v>406</v>
      </c>
      <c r="D635" s="42" t="s">
        <v>68</v>
      </c>
      <c r="E635" s="6">
        <v>64856.00000000001</v>
      </c>
      <c r="F635" s="6">
        <v>32428</v>
      </c>
      <c r="G635" s="7">
        <f t="shared" si="126"/>
        <v>0.49999999999999994</v>
      </c>
      <c r="H635" s="14">
        <v>48895</v>
      </c>
      <c r="I635" s="15">
        <f t="shared" si="127"/>
        <v>45399.200000000004</v>
      </c>
      <c r="J635" s="15">
        <f t="shared" si="128"/>
        <v>39116</v>
      </c>
      <c r="K635" s="85">
        <f t="shared" si="129"/>
        <v>39116</v>
      </c>
      <c r="L635" s="79">
        <v>32428.000000000004</v>
      </c>
      <c r="M635" s="86">
        <f>ROUND(VLOOKUP(B635,גיליון1!A576:B1546,2,0),0)</f>
        <v>48894</v>
      </c>
      <c r="N635" s="108"/>
    </row>
    <row r="636" spans="1:14" ht="15.75">
      <c r="A636" s="3">
        <v>632</v>
      </c>
      <c r="B636" s="12">
        <v>580531614</v>
      </c>
      <c r="C636" s="13" t="s">
        <v>471</v>
      </c>
      <c r="D636" s="13" t="s">
        <v>56</v>
      </c>
      <c r="E636" s="6">
        <v>8833</v>
      </c>
      <c r="F636" s="6">
        <v>6183</v>
      </c>
      <c r="G636" s="7">
        <f t="shared" si="126"/>
        <v>0.6999886788180686</v>
      </c>
      <c r="H636" s="14">
        <v>18629</v>
      </c>
      <c r="I636" s="15">
        <f t="shared" si="127"/>
        <v>6183.099999999999</v>
      </c>
      <c r="J636" s="15">
        <f t="shared" si="128"/>
        <v>14903.2</v>
      </c>
      <c r="K636" s="85">
        <f t="shared" si="129"/>
        <v>6183</v>
      </c>
      <c r="L636" s="79">
        <v>6183.099999999999</v>
      </c>
      <c r="M636" s="86">
        <f>ROUND(VLOOKUP(B636,גיליון1!A577:B1547,2,0),0)</f>
        <v>18629</v>
      </c>
      <c r="N636" s="108"/>
    </row>
    <row r="637" spans="1:14" ht="15.75">
      <c r="A637">
        <v>633</v>
      </c>
      <c r="B637" s="12">
        <v>580533677</v>
      </c>
      <c r="C637" s="13" t="s">
        <v>604</v>
      </c>
      <c r="D637" s="13" t="s">
        <v>56</v>
      </c>
      <c r="E637" s="6">
        <v>112811.75</v>
      </c>
      <c r="F637" s="6">
        <v>78968</v>
      </c>
      <c r="G637" s="7">
        <f t="shared" si="126"/>
        <v>0.6999980055269065</v>
      </c>
      <c r="H637" s="14">
        <v>172160</v>
      </c>
      <c r="I637" s="15">
        <f t="shared" si="127"/>
        <v>78968.22499999999</v>
      </c>
      <c r="J637" s="15">
        <f t="shared" si="128"/>
        <v>137728</v>
      </c>
      <c r="K637" s="85">
        <f t="shared" si="129"/>
        <v>78968</v>
      </c>
      <c r="L637" s="79">
        <v>78968.22499999999</v>
      </c>
      <c r="M637" s="86">
        <f>ROUND(VLOOKUP(B637,גיליון1!A578:B1548,2,0),0)</f>
        <v>172159</v>
      </c>
      <c r="N637" s="108"/>
    </row>
    <row r="638" spans="1:14" ht="15.75">
      <c r="A638" s="3">
        <v>634</v>
      </c>
      <c r="B638" s="60">
        <v>580534147</v>
      </c>
      <c r="C638" s="13" t="s">
        <v>754</v>
      </c>
      <c r="D638" s="13" t="s">
        <v>56</v>
      </c>
      <c r="E638" s="6">
        <v>60254.5</v>
      </c>
      <c r="F638" s="6">
        <v>30127</v>
      </c>
      <c r="G638" s="7">
        <f t="shared" si="126"/>
        <v>0.49999585093229554</v>
      </c>
      <c r="H638" s="14">
        <v>71748</v>
      </c>
      <c r="I638" s="15">
        <f t="shared" si="127"/>
        <v>42178.149999999994</v>
      </c>
      <c r="J638" s="15">
        <f t="shared" si="128"/>
        <v>57398.4</v>
      </c>
      <c r="K638" s="85">
        <f t="shared" si="129"/>
        <v>42178</v>
      </c>
      <c r="L638" s="79">
        <v>30127.25</v>
      </c>
      <c r="M638" s="86">
        <f>ROUND(VLOOKUP(B638,גיליון1!A579:B1549,2,0),0)</f>
        <v>71748</v>
      </c>
      <c r="N638" s="108"/>
    </row>
    <row r="639" spans="1:14" ht="15.75">
      <c r="A639">
        <v>635</v>
      </c>
      <c r="B639" s="12">
        <v>580535516</v>
      </c>
      <c r="C639" s="13" t="s">
        <v>407</v>
      </c>
      <c r="D639" s="17" t="s">
        <v>59</v>
      </c>
      <c r="E639" s="6">
        <v>106866.25</v>
      </c>
      <c r="F639" s="6">
        <v>74444</v>
      </c>
      <c r="G639" s="7">
        <f t="shared" si="126"/>
        <v>0.6966090791058918</v>
      </c>
      <c r="H639" s="14">
        <v>93055</v>
      </c>
      <c r="I639" s="15">
        <f t="shared" si="127"/>
        <v>74806.375</v>
      </c>
      <c r="J639" s="15">
        <f t="shared" si="128"/>
        <v>74444</v>
      </c>
      <c r="K639" s="85">
        <f t="shared" si="129"/>
        <v>74444</v>
      </c>
      <c r="L639" s="79">
        <v>74444</v>
      </c>
      <c r="M639" s="86">
        <f>ROUND(VLOOKUP(B639,גיליון1!A580:B1550,2,0),0)</f>
        <v>93054</v>
      </c>
      <c r="N639" s="108"/>
    </row>
    <row r="640" spans="1:14" ht="15.75">
      <c r="A640" s="3">
        <v>636</v>
      </c>
      <c r="B640" s="12">
        <v>580536316</v>
      </c>
      <c r="C640" s="13" t="s">
        <v>408</v>
      </c>
      <c r="D640" s="17" t="s">
        <v>70</v>
      </c>
      <c r="E640" s="6">
        <v>186892.25</v>
      </c>
      <c r="F640" s="6">
        <v>130825</v>
      </c>
      <c r="G640" s="7">
        <f t="shared" si="126"/>
        <v>0.7000022740375805</v>
      </c>
      <c r="H640" s="14">
        <v>190419</v>
      </c>
      <c r="I640" s="15">
        <f t="shared" si="127"/>
        <v>130824.575</v>
      </c>
      <c r="J640" s="15">
        <f t="shared" si="128"/>
        <v>152335.2</v>
      </c>
      <c r="K640" s="85">
        <f t="shared" si="129"/>
        <v>0</v>
      </c>
      <c r="L640" s="79">
        <v>130824.575</v>
      </c>
      <c r="M640" s="86">
        <f>ROUND(VLOOKUP(B640,גיליון1!A581:B1551,2,0),0)</f>
        <v>190419</v>
      </c>
      <c r="N640" s="108"/>
    </row>
    <row r="641" spans="1:14" ht="15.75">
      <c r="A641">
        <v>637</v>
      </c>
      <c r="B641" s="12">
        <v>580536332</v>
      </c>
      <c r="C641" s="12" t="s">
        <v>645</v>
      </c>
      <c r="D641" s="13" t="s">
        <v>59</v>
      </c>
      <c r="E641" s="6">
        <v>63639</v>
      </c>
      <c r="F641" s="6">
        <v>25456</v>
      </c>
      <c r="G641" s="7">
        <f t="shared" si="126"/>
        <v>0.40000628545388833</v>
      </c>
      <c r="H641" s="14">
        <v>119753</v>
      </c>
      <c r="I641" s="15">
        <f t="shared" si="127"/>
        <v>44547.299999999996</v>
      </c>
      <c r="J641" s="15">
        <f t="shared" si="128"/>
        <v>95802.40000000001</v>
      </c>
      <c r="K641" s="85">
        <f t="shared" si="129"/>
        <v>44547</v>
      </c>
      <c r="L641" s="79">
        <v>25455.600000000002</v>
      </c>
      <c r="M641" s="86">
        <f>ROUND(VLOOKUP(B641,גיליון1!A582:B1552,2,0),0)</f>
        <v>119755</v>
      </c>
      <c r="N641" s="108"/>
    </row>
    <row r="642" spans="1:14" ht="15.75">
      <c r="A642" s="3">
        <v>638</v>
      </c>
      <c r="B642" s="37">
        <v>580536472</v>
      </c>
      <c r="C642" s="77" t="s">
        <v>728</v>
      </c>
      <c r="D642" s="4" t="s">
        <v>56</v>
      </c>
      <c r="E642" s="6">
        <v>53962</v>
      </c>
      <c r="F642" s="6">
        <v>26981</v>
      </c>
      <c r="G642" s="7">
        <f t="shared" si="126"/>
        <v>0.5</v>
      </c>
      <c r="H642" s="14">
        <v>28285</v>
      </c>
      <c r="I642" s="15">
        <f t="shared" si="127"/>
        <v>37773.399999999994</v>
      </c>
      <c r="J642" s="15">
        <f t="shared" si="128"/>
        <v>22628</v>
      </c>
      <c r="K642" s="85">
        <f t="shared" si="129"/>
        <v>0</v>
      </c>
      <c r="L642" s="79">
        <v>26981.000000000004</v>
      </c>
      <c r="M642" s="86">
        <f>ROUND(VLOOKUP(B642,גיליון1!A583:B1553,2,0),0)</f>
        <v>28285</v>
      </c>
      <c r="N642" s="108"/>
    </row>
    <row r="643" spans="1:14" ht="15.75">
      <c r="A643">
        <v>639</v>
      </c>
      <c r="B643" s="13">
        <v>580538288</v>
      </c>
      <c r="C643" s="13" t="s">
        <v>217</v>
      </c>
      <c r="D643" s="13" t="s">
        <v>90</v>
      </c>
      <c r="E643" s="6">
        <v>42039</v>
      </c>
      <c r="F643" s="6">
        <v>28151</v>
      </c>
      <c r="G643" s="7">
        <f t="shared" si="126"/>
        <v>0.6696400961012393</v>
      </c>
      <c r="H643" s="14">
        <v>35189</v>
      </c>
      <c r="I643" s="15">
        <f t="shared" si="127"/>
        <v>29427.3</v>
      </c>
      <c r="J643" s="15">
        <f t="shared" si="128"/>
        <v>28151.2</v>
      </c>
      <c r="K643" s="85">
        <f t="shared" si="129"/>
        <v>28151</v>
      </c>
      <c r="L643" s="79">
        <v>28151.208000000002</v>
      </c>
      <c r="M643" s="86">
        <f>ROUND(VLOOKUP(B643,גיליון1!A584:B1554,2,0),0)</f>
        <v>35189</v>
      </c>
      <c r="N643" s="108"/>
    </row>
    <row r="644" spans="1:14" ht="15.75">
      <c r="A644" s="3">
        <v>640</v>
      </c>
      <c r="B644" s="12">
        <v>580538403</v>
      </c>
      <c r="C644" s="13" t="s">
        <v>573</v>
      </c>
      <c r="D644" s="17" t="s">
        <v>59</v>
      </c>
      <c r="E644" s="6">
        <v>13701</v>
      </c>
      <c r="F644" s="6">
        <v>9591</v>
      </c>
      <c r="G644" s="7">
        <f t="shared" si="126"/>
        <v>0.7000218962119553</v>
      </c>
      <c r="H644" s="14">
        <v>39627</v>
      </c>
      <c r="I644" s="15">
        <f t="shared" si="127"/>
        <v>9590.699999999999</v>
      </c>
      <c r="J644" s="15">
        <f t="shared" si="128"/>
        <v>31701.600000000002</v>
      </c>
      <c r="K644" s="85">
        <f t="shared" si="129"/>
        <v>0</v>
      </c>
      <c r="L644" s="79">
        <v>9590.699999999999</v>
      </c>
      <c r="M644" s="86">
        <f>ROUND(VLOOKUP(B644,גיליון1!A585:B1555,2,0),0)</f>
        <v>39627</v>
      </c>
      <c r="N644" s="108"/>
    </row>
    <row r="645" spans="1:14" ht="15.75">
      <c r="A645">
        <v>641</v>
      </c>
      <c r="B645" s="12">
        <v>580538668</v>
      </c>
      <c r="C645" s="13" t="s">
        <v>218</v>
      </c>
      <c r="D645" s="13" t="s">
        <v>56</v>
      </c>
      <c r="E645" s="6">
        <v>63639</v>
      </c>
      <c r="F645" s="6">
        <v>44547</v>
      </c>
      <c r="G645" s="7">
        <f t="shared" si="126"/>
        <v>0.6999952859095837</v>
      </c>
      <c r="H645" s="14">
        <v>81697</v>
      </c>
      <c r="I645" s="15">
        <f t="shared" si="127"/>
        <v>44547.299999999996</v>
      </c>
      <c r="J645" s="15">
        <f t="shared" si="128"/>
        <v>65357.600000000006</v>
      </c>
      <c r="K645" s="85">
        <f t="shared" si="129"/>
        <v>44547</v>
      </c>
      <c r="L645" s="79">
        <v>44547.299999999996</v>
      </c>
      <c r="M645" s="86">
        <f>ROUND(VLOOKUP(B645,גיליון1!A586:B1556,2,0),0)</f>
        <v>81698</v>
      </c>
      <c r="N645" s="108"/>
    </row>
    <row r="646" spans="1:14" ht="15.75">
      <c r="A646" s="3">
        <v>642</v>
      </c>
      <c r="B646" s="61">
        <v>580539062</v>
      </c>
      <c r="C646" s="62" t="s">
        <v>409</v>
      </c>
      <c r="D646" s="78" t="s">
        <v>59</v>
      </c>
      <c r="E646" s="6">
        <v>219461.5</v>
      </c>
      <c r="F646" s="6">
        <v>153623</v>
      </c>
      <c r="G646" s="7">
        <f t="shared" si="126"/>
        <v>0.6999997721696061</v>
      </c>
      <c r="H646" s="14">
        <v>219600</v>
      </c>
      <c r="I646" s="15">
        <f t="shared" si="127"/>
        <v>153623.05</v>
      </c>
      <c r="J646" s="15">
        <f t="shared" si="128"/>
        <v>175680</v>
      </c>
      <c r="K646" s="85">
        <f t="shared" si="129"/>
        <v>153623</v>
      </c>
      <c r="L646" s="79">
        <v>153623.05</v>
      </c>
      <c r="M646" s="86">
        <f>ROUND(VLOOKUP(B646,גיליון1!A587:B1557,2,0),0)</f>
        <v>255232</v>
      </c>
      <c r="N646" s="108"/>
    </row>
    <row r="647" spans="1:14" ht="15.75">
      <c r="A647">
        <v>643</v>
      </c>
      <c r="B647" s="62">
        <v>580540136</v>
      </c>
      <c r="C647" s="62" t="s">
        <v>219</v>
      </c>
      <c r="D647" s="62" t="s">
        <v>64</v>
      </c>
      <c r="E647" s="6">
        <v>49401</v>
      </c>
      <c r="F647" s="6">
        <v>34581</v>
      </c>
      <c r="G647" s="7">
        <f t="shared" si="126"/>
        <v>0.7000060727515637</v>
      </c>
      <c r="H647" s="14">
        <v>47317</v>
      </c>
      <c r="I647" s="15">
        <f t="shared" si="127"/>
        <v>34580.7</v>
      </c>
      <c r="J647" s="15">
        <f t="shared" si="128"/>
        <v>37853.6</v>
      </c>
      <c r="K647" s="85">
        <f t="shared" si="129"/>
        <v>0</v>
      </c>
      <c r="L647" s="79">
        <v>34580.7</v>
      </c>
      <c r="M647" s="86">
        <f>ROUND(VLOOKUP(B647,גיליון1!A588:B1558,2,0),0)</f>
        <v>47317</v>
      </c>
      <c r="N647" s="108"/>
    </row>
    <row r="648" spans="1:14" ht="15.75">
      <c r="A648" s="3">
        <v>644</v>
      </c>
      <c r="B648" s="61">
        <v>580540391</v>
      </c>
      <c r="C648" s="62" t="s">
        <v>220</v>
      </c>
      <c r="D648" s="78" t="s">
        <v>59</v>
      </c>
      <c r="E648" s="6">
        <v>32239.25</v>
      </c>
      <c r="F648" s="6">
        <v>22567.475</v>
      </c>
      <c r="G648" s="7">
        <f t="shared" si="126"/>
        <v>0.7</v>
      </c>
      <c r="H648" s="14">
        <v>28313</v>
      </c>
      <c r="I648" s="15">
        <f t="shared" si="127"/>
        <v>22567.475</v>
      </c>
      <c r="J648" s="15">
        <f t="shared" si="128"/>
        <v>22650.4</v>
      </c>
      <c r="K648" s="85">
        <f t="shared" si="129"/>
        <v>22567</v>
      </c>
      <c r="L648" s="79">
        <v>22567.475</v>
      </c>
      <c r="M648" s="86">
        <f>ROUND(VLOOKUP(B648,גיליון1!A589:B1559,2,0),0)</f>
        <v>28313</v>
      </c>
      <c r="N648" s="108"/>
    </row>
    <row r="649" spans="1:14" ht="15.75">
      <c r="A649">
        <v>645</v>
      </c>
      <c r="B649" s="61">
        <v>580541191</v>
      </c>
      <c r="C649" s="62" t="s">
        <v>221</v>
      </c>
      <c r="D649" s="62" t="s">
        <v>56</v>
      </c>
      <c r="E649" s="6">
        <v>71702</v>
      </c>
      <c r="F649" s="6">
        <v>50191</v>
      </c>
      <c r="G649" s="7">
        <f t="shared" si="126"/>
        <v>0.6999944213550529</v>
      </c>
      <c r="H649" s="14">
        <v>75167</v>
      </c>
      <c r="I649" s="15">
        <f t="shared" si="127"/>
        <v>50191.399999999994</v>
      </c>
      <c r="J649" s="15">
        <f t="shared" si="128"/>
        <v>60133.600000000006</v>
      </c>
      <c r="K649" s="85">
        <f t="shared" si="129"/>
        <v>50191</v>
      </c>
      <c r="L649" s="79">
        <v>50191.399999999994</v>
      </c>
      <c r="M649" s="86">
        <f>ROUND(VLOOKUP(B649,גיליון1!A590:B1560,2,0),0)</f>
        <v>75167</v>
      </c>
      <c r="N649" s="108"/>
    </row>
    <row r="650" spans="1:14" ht="15.75">
      <c r="A650" s="3">
        <v>646</v>
      </c>
      <c r="B650" s="61">
        <v>580541332</v>
      </c>
      <c r="C650" s="62" t="s">
        <v>301</v>
      </c>
      <c r="D650" s="78" t="s">
        <v>59</v>
      </c>
      <c r="E650" s="6">
        <v>139928</v>
      </c>
      <c r="F650" s="6">
        <v>97950</v>
      </c>
      <c r="G650" s="7">
        <f t="shared" si="126"/>
        <v>0.7000028586130009</v>
      </c>
      <c r="H650" s="14">
        <v>125218</v>
      </c>
      <c r="I650" s="15">
        <f t="shared" si="127"/>
        <v>97949.59999999999</v>
      </c>
      <c r="J650" s="15">
        <f t="shared" si="128"/>
        <v>100174.40000000001</v>
      </c>
      <c r="K650" s="85">
        <f t="shared" si="129"/>
        <v>0</v>
      </c>
      <c r="L650" s="79">
        <v>97949.59999999999</v>
      </c>
      <c r="M650" s="86">
        <f>ROUND(VLOOKUP(B650,גיליון1!A591:B1561,2,0),0)</f>
        <v>125218</v>
      </c>
      <c r="N650" s="108"/>
    </row>
    <row r="651" spans="1:14" ht="30">
      <c r="A651">
        <v>647</v>
      </c>
      <c r="B651" s="62">
        <v>580541647</v>
      </c>
      <c r="C651" s="144" t="s">
        <v>539</v>
      </c>
      <c r="D651" s="62" t="s">
        <v>90</v>
      </c>
      <c r="E651" s="6">
        <v>72658.25</v>
      </c>
      <c r="F651" s="6">
        <v>50860.774999999994</v>
      </c>
      <c r="G651" s="7">
        <f t="shared" si="126"/>
        <v>0.7</v>
      </c>
      <c r="H651" s="14">
        <v>102341</v>
      </c>
      <c r="I651" s="15">
        <f t="shared" si="127"/>
        <v>50860.774999999994</v>
      </c>
      <c r="J651" s="15">
        <f t="shared" si="128"/>
        <v>81872.8</v>
      </c>
      <c r="K651" s="85">
        <f t="shared" si="129"/>
        <v>50861</v>
      </c>
      <c r="L651" s="79">
        <v>50860.774999999994</v>
      </c>
      <c r="M651" s="86">
        <f>ROUND(VLOOKUP(B651,גיליון1!A592:B1562,2,0),0)</f>
        <v>102338</v>
      </c>
      <c r="N651" s="108"/>
    </row>
    <row r="652" spans="1:14" ht="15.75">
      <c r="A652" s="3">
        <v>648</v>
      </c>
      <c r="B652" s="141">
        <v>580542421</v>
      </c>
      <c r="C652" s="62" t="s">
        <v>745</v>
      </c>
      <c r="D652" s="62" t="s">
        <v>56</v>
      </c>
      <c r="E652" s="6">
        <v>18431.25</v>
      </c>
      <c r="F652" s="6">
        <v>9216</v>
      </c>
      <c r="G652" s="7">
        <f t="shared" si="126"/>
        <v>0.5000203458799594</v>
      </c>
      <c r="H652" s="14">
        <v>29636</v>
      </c>
      <c r="I652" s="15">
        <f t="shared" si="127"/>
        <v>12901.875</v>
      </c>
      <c r="J652" s="15">
        <f t="shared" si="128"/>
        <v>23708.800000000003</v>
      </c>
      <c r="K652" s="85">
        <f t="shared" si="129"/>
        <v>12902</v>
      </c>
      <c r="L652" s="79">
        <v>9215.625</v>
      </c>
      <c r="M652" s="86">
        <f>ROUND(VLOOKUP(B652,גיליון1!A593:B1563,2,0),0)</f>
        <v>29636</v>
      </c>
      <c r="N652" s="108"/>
    </row>
    <row r="653" spans="1:14" ht="15.75">
      <c r="A653">
        <v>649</v>
      </c>
      <c r="B653" s="61">
        <v>580542710</v>
      </c>
      <c r="C653" s="62" t="s">
        <v>574</v>
      </c>
      <c r="D653" s="62" t="s">
        <v>56</v>
      </c>
      <c r="E653" s="50">
        <v>166357</v>
      </c>
      <c r="F653" s="50">
        <v>116450</v>
      </c>
      <c r="G653" s="7">
        <f t="shared" si="126"/>
        <v>0.7000006011168751</v>
      </c>
      <c r="H653" s="14">
        <v>186415</v>
      </c>
      <c r="I653" s="15">
        <f t="shared" si="127"/>
        <v>116449.9</v>
      </c>
      <c r="J653" s="15">
        <f t="shared" si="128"/>
        <v>149132</v>
      </c>
      <c r="K653" s="85">
        <f t="shared" si="129"/>
        <v>0</v>
      </c>
      <c r="L653" s="79">
        <v>116449.9</v>
      </c>
      <c r="M653" s="86">
        <f>ROUND(VLOOKUP(B653,גיליון1!A594:B1564,2,0),0)</f>
        <v>186416</v>
      </c>
      <c r="N653" s="108"/>
    </row>
    <row r="654" spans="1:14" ht="15.75">
      <c r="A654" s="3">
        <v>650</v>
      </c>
      <c r="B654" s="137">
        <v>580543296</v>
      </c>
      <c r="C654" s="138" t="s">
        <v>1087</v>
      </c>
      <c r="D654" s="62"/>
      <c r="E654" s="116">
        <v>48025</v>
      </c>
      <c r="F654" s="116">
        <v>24012</v>
      </c>
      <c r="G654" s="117"/>
      <c r="H654" s="118">
        <v>50276</v>
      </c>
      <c r="I654" s="15"/>
      <c r="J654" s="15"/>
      <c r="K654" s="110"/>
      <c r="L654" s="79"/>
      <c r="M654" s="86"/>
      <c r="N654" s="108"/>
    </row>
    <row r="655" spans="1:14" ht="15.75">
      <c r="A655">
        <v>651</v>
      </c>
      <c r="B655" s="61">
        <v>580543320</v>
      </c>
      <c r="C655" s="62" t="s">
        <v>540</v>
      </c>
      <c r="D655" s="62" t="s">
        <v>56</v>
      </c>
      <c r="E655" s="6">
        <v>156787.25</v>
      </c>
      <c r="F655" s="6">
        <v>109751</v>
      </c>
      <c r="G655" s="7">
        <f aca="true" t="shared" si="130" ref="G655:G661">F655/E655</f>
        <v>0.6999995216447766</v>
      </c>
      <c r="H655" s="14">
        <v>184972</v>
      </c>
      <c r="I655" s="15">
        <f aca="true" t="shared" si="131" ref="I655:I661">E655*$I$2</f>
        <v>109751.075</v>
      </c>
      <c r="J655" s="15">
        <f aca="true" t="shared" si="132" ref="J655:J661">H655*$J$2</f>
        <v>147977.6</v>
      </c>
      <c r="K655" s="85">
        <f aca="true" t="shared" si="133" ref="K655:K661">ROUND(IF(IF(MIN(I655,J655)&lt;F655,MIN(I655,J655)-F655,MIN(I655,J655))&lt;0,0,IF(MIN(I655,J655)&lt;F655,MIN(I655,J655)-F655,MIN(I655,J655))),0)</f>
        <v>109751</v>
      </c>
      <c r="L655" s="79">
        <v>109751.075</v>
      </c>
      <c r="M655" s="86">
        <f>ROUND(VLOOKUP(B655,גיליון1!A596:B1566,2,0),0)</f>
        <v>212805</v>
      </c>
      <c r="N655" s="108"/>
    </row>
    <row r="656" spans="1:14" ht="15.75">
      <c r="A656" s="3">
        <v>652</v>
      </c>
      <c r="B656" s="62">
        <v>580543585</v>
      </c>
      <c r="C656" s="62" t="s">
        <v>764</v>
      </c>
      <c r="D656" s="62" t="s">
        <v>68</v>
      </c>
      <c r="E656" s="6">
        <v>74006.5</v>
      </c>
      <c r="F656" s="6">
        <v>37003</v>
      </c>
      <c r="G656" s="7">
        <f t="shared" si="130"/>
        <v>0.499996621918345</v>
      </c>
      <c r="H656" s="14">
        <v>47673</v>
      </c>
      <c r="I656" s="15">
        <f t="shared" si="131"/>
        <v>51804.549999999996</v>
      </c>
      <c r="J656" s="15">
        <f t="shared" si="132"/>
        <v>38138.4</v>
      </c>
      <c r="K656" s="85">
        <f t="shared" si="133"/>
        <v>38138</v>
      </c>
      <c r="L656" s="79">
        <v>37003.25</v>
      </c>
      <c r="M656" s="86">
        <f>ROUND(VLOOKUP(B656,גיליון1!A597:B1567,2,0),0)</f>
        <v>47672</v>
      </c>
      <c r="N656" s="108"/>
    </row>
    <row r="657" spans="1:14" ht="15.75">
      <c r="A657">
        <v>653</v>
      </c>
      <c r="B657" s="37">
        <v>580543858</v>
      </c>
      <c r="C657" s="13" t="s">
        <v>575</v>
      </c>
      <c r="D657" s="17" t="s">
        <v>59</v>
      </c>
      <c r="E657" s="6">
        <v>147312.25</v>
      </c>
      <c r="F657" s="6">
        <v>73656</v>
      </c>
      <c r="G657" s="7">
        <f t="shared" si="130"/>
        <v>0.499999151462285</v>
      </c>
      <c r="H657" s="14">
        <v>197087</v>
      </c>
      <c r="I657" s="15">
        <f t="shared" si="131"/>
        <v>103118.575</v>
      </c>
      <c r="J657" s="15">
        <f t="shared" si="132"/>
        <v>157669.6</v>
      </c>
      <c r="K657" s="85">
        <f t="shared" si="133"/>
        <v>103119</v>
      </c>
      <c r="L657" s="79">
        <v>73656.125</v>
      </c>
      <c r="M657" s="86">
        <f>ROUND(VLOOKUP(B657,גיליון1!A598:B1568,2,0),0)</f>
        <v>197089</v>
      </c>
      <c r="N657" s="108"/>
    </row>
    <row r="658" spans="1:14" ht="15.75">
      <c r="A658" s="3">
        <v>654</v>
      </c>
      <c r="B658" s="12">
        <v>580544195</v>
      </c>
      <c r="C658" s="13" t="s">
        <v>222</v>
      </c>
      <c r="D658" s="17" t="s">
        <v>59</v>
      </c>
      <c r="E658" s="6">
        <v>121975.25</v>
      </c>
      <c r="F658" s="6">
        <v>60988</v>
      </c>
      <c r="G658" s="7">
        <f t="shared" si="130"/>
        <v>0.5000030743941907</v>
      </c>
      <c r="H658" s="14">
        <v>125688</v>
      </c>
      <c r="I658" s="15">
        <f t="shared" si="131"/>
        <v>85382.67499999999</v>
      </c>
      <c r="J658" s="15">
        <f t="shared" si="132"/>
        <v>100550.40000000001</v>
      </c>
      <c r="K658" s="85">
        <f t="shared" si="133"/>
        <v>85383</v>
      </c>
      <c r="L658" s="79">
        <v>60987.625</v>
      </c>
      <c r="M658" s="86">
        <f>ROUND(VLOOKUP(B658,גיליון1!A599:B1569,2,0),0)</f>
        <v>125690</v>
      </c>
      <c r="N658" s="108"/>
    </row>
    <row r="659" spans="1:14" ht="15.75">
      <c r="A659">
        <v>655</v>
      </c>
      <c r="B659" s="12">
        <v>580545523</v>
      </c>
      <c r="C659" s="13" t="s">
        <v>223</v>
      </c>
      <c r="D659" s="17" t="s">
        <v>59</v>
      </c>
      <c r="E659" s="6">
        <v>211913</v>
      </c>
      <c r="F659" s="6">
        <v>124990</v>
      </c>
      <c r="G659" s="7">
        <f t="shared" si="130"/>
        <v>0.5898175194537381</v>
      </c>
      <c r="H659" s="14">
        <v>156237</v>
      </c>
      <c r="I659" s="15">
        <f t="shared" si="131"/>
        <v>148339.09999999998</v>
      </c>
      <c r="J659" s="15">
        <f t="shared" si="132"/>
        <v>124989.6</v>
      </c>
      <c r="K659" s="85">
        <f t="shared" si="133"/>
        <v>0</v>
      </c>
      <c r="L659" s="79">
        <v>124989.6</v>
      </c>
      <c r="M659" s="86">
        <f>ROUND(VLOOKUP(B659,גיליון1!A600:B1570,2,0),0)</f>
        <v>156240</v>
      </c>
      <c r="N659" s="108"/>
    </row>
    <row r="660" spans="1:14" ht="15.75">
      <c r="A660" s="3">
        <v>656</v>
      </c>
      <c r="B660" s="12">
        <v>580545846</v>
      </c>
      <c r="C660" s="13" t="s">
        <v>706</v>
      </c>
      <c r="D660" s="17" t="s">
        <v>59</v>
      </c>
      <c r="E660" s="6">
        <v>31596</v>
      </c>
      <c r="F660" s="6">
        <v>12310</v>
      </c>
      <c r="G660" s="7">
        <f t="shared" si="130"/>
        <v>0.3896062792758577</v>
      </c>
      <c r="H660" s="14">
        <v>12310</v>
      </c>
      <c r="I660" s="15">
        <f t="shared" si="131"/>
        <v>22117.199999999997</v>
      </c>
      <c r="J660" s="15">
        <f t="shared" si="132"/>
        <v>9848</v>
      </c>
      <c r="K660" s="85">
        <f t="shared" si="133"/>
        <v>0</v>
      </c>
      <c r="L660" s="79">
        <v>15798.000000000002</v>
      </c>
      <c r="M660" s="86">
        <f>ROUND(VLOOKUP(B660,גיליון1!A601:B1571,2,0),0)</f>
        <v>12310</v>
      </c>
      <c r="N660" s="108"/>
    </row>
    <row r="661" spans="1:14" ht="15.75">
      <c r="A661">
        <v>657</v>
      </c>
      <c r="B661" s="12">
        <v>580546091</v>
      </c>
      <c r="C661" s="13" t="s">
        <v>541</v>
      </c>
      <c r="D661" s="13" t="s">
        <v>56</v>
      </c>
      <c r="E661" s="6">
        <v>53916</v>
      </c>
      <c r="F661" s="6">
        <v>37741</v>
      </c>
      <c r="G661" s="7">
        <f t="shared" si="130"/>
        <v>0.6999962905260034</v>
      </c>
      <c r="H661" s="14">
        <v>63891</v>
      </c>
      <c r="I661" s="15">
        <f t="shared" si="131"/>
        <v>37741.2</v>
      </c>
      <c r="J661" s="15">
        <f t="shared" si="132"/>
        <v>51112.8</v>
      </c>
      <c r="K661" s="85">
        <f t="shared" si="133"/>
        <v>37741</v>
      </c>
      <c r="L661" s="79">
        <v>37741.2</v>
      </c>
      <c r="M661" s="86">
        <f>ROUND(VLOOKUP(B661,גיליון1!A602:B1572,2,0),0)</f>
        <v>63892</v>
      </c>
      <c r="N661" s="108"/>
    </row>
    <row r="662" spans="1:14" ht="15.75">
      <c r="A662" s="3">
        <v>658</v>
      </c>
      <c r="B662" s="18">
        <v>580546133</v>
      </c>
      <c r="C662" s="18" t="s">
        <v>1104</v>
      </c>
      <c r="D662" s="13"/>
      <c r="E662" s="116"/>
      <c r="F662" s="116"/>
      <c r="G662" s="117"/>
      <c r="H662" s="118">
        <v>79254</v>
      </c>
      <c r="I662" s="15"/>
      <c r="J662" s="15"/>
      <c r="K662" s="110"/>
      <c r="L662" s="79"/>
      <c r="M662" s="86"/>
      <c r="N662" s="108"/>
    </row>
    <row r="663" spans="1:14" ht="15.75">
      <c r="A663">
        <v>659</v>
      </c>
      <c r="B663" s="12">
        <v>580546323</v>
      </c>
      <c r="C663" s="13" t="s">
        <v>542</v>
      </c>
      <c r="D663" s="17" t="s">
        <v>59</v>
      </c>
      <c r="E663" s="6">
        <v>169704.75</v>
      </c>
      <c r="F663" s="6">
        <v>84852</v>
      </c>
      <c r="G663" s="7">
        <f>F663/E663</f>
        <v>0.49999779027988317</v>
      </c>
      <c r="H663" s="14">
        <v>253299</v>
      </c>
      <c r="I663" s="15">
        <f>E663*$I$2</f>
        <v>118793.325</v>
      </c>
      <c r="J663" s="15">
        <f>H663*$J$2</f>
        <v>202639.2</v>
      </c>
      <c r="K663" s="85">
        <f>ROUND(IF(IF(MIN(I663,J663)&lt;F663,MIN(I663,J663)-F663,MIN(I663,J663))&lt;0,0,IF(MIN(I663,J663)&lt;F663,MIN(I663,J663)-F663,MIN(I663,J663))),0)</f>
        <v>118793</v>
      </c>
      <c r="L663" s="79">
        <v>84852.375</v>
      </c>
      <c r="M663" s="86">
        <f>ROUND(VLOOKUP(B663,גיליון1!A603:B1573,2,0),0)</f>
        <v>253300</v>
      </c>
      <c r="N663" s="108"/>
    </row>
    <row r="664" spans="1:14" ht="15.75">
      <c r="A664" s="3">
        <v>660</v>
      </c>
      <c r="B664" s="12">
        <v>580546646</v>
      </c>
      <c r="C664" s="13" t="s">
        <v>224</v>
      </c>
      <c r="D664" s="13" t="s">
        <v>56</v>
      </c>
      <c r="E664" s="6">
        <v>214171.75</v>
      </c>
      <c r="F664" s="6">
        <v>149920</v>
      </c>
      <c r="G664" s="7">
        <f>F664/E664</f>
        <v>0.6999989494412778</v>
      </c>
      <c r="H664" s="14">
        <v>227807</v>
      </c>
      <c r="I664" s="15">
        <f>E664*$I$2</f>
        <v>149920.22499999998</v>
      </c>
      <c r="J664" s="15">
        <f>H664*$J$2</f>
        <v>182245.6</v>
      </c>
      <c r="K664" s="85">
        <f>ROUND(IF(IF(MIN(I664,J664)&lt;F664,MIN(I664,J664)-F664,MIN(I664,J664))&lt;0,0,IF(MIN(I664,J664)&lt;F664,MIN(I664,J664)-F664,MIN(I664,J664))),0)</f>
        <v>149920</v>
      </c>
      <c r="L664" s="79">
        <v>149920.22499999998</v>
      </c>
      <c r="M664" s="86">
        <f>ROUND(VLOOKUP(B664,גיליון1!A604:B1574,2,0),0)</f>
        <v>227806</v>
      </c>
      <c r="N664" s="108"/>
    </row>
    <row r="665" spans="1:14" ht="15.75">
      <c r="A665">
        <v>661</v>
      </c>
      <c r="B665" s="12">
        <v>580546695</v>
      </c>
      <c r="C665" s="13" t="s">
        <v>472</v>
      </c>
      <c r="D665" s="13" t="s">
        <v>56</v>
      </c>
      <c r="E665" s="6">
        <v>86914.5</v>
      </c>
      <c r="F665" s="6">
        <v>60840</v>
      </c>
      <c r="G665" s="7">
        <f>F665/E665</f>
        <v>0.6999982741659907</v>
      </c>
      <c r="H665" s="14">
        <v>102995</v>
      </c>
      <c r="I665" s="15">
        <f>E665*$I$2</f>
        <v>60840.149999999994</v>
      </c>
      <c r="J665" s="15">
        <f>H665*$J$2</f>
        <v>82396</v>
      </c>
      <c r="K665" s="85">
        <f>ROUND(IF(IF(MIN(I665,J665)&lt;F665,MIN(I665,J665)-F665,MIN(I665,J665))&lt;0,0,IF(MIN(I665,J665)&lt;F665,MIN(I665,J665)-F665,MIN(I665,J665))),0)</f>
        <v>60840</v>
      </c>
      <c r="L665" s="79">
        <v>60840.149999999994</v>
      </c>
      <c r="M665" s="86">
        <f>ROUND(VLOOKUP(B665,גיליון1!A605:B1575,2,0),0)</f>
        <v>102996</v>
      </c>
      <c r="N665" s="108"/>
    </row>
    <row r="666" spans="1:14" ht="15.75">
      <c r="A666" s="3">
        <v>662</v>
      </c>
      <c r="B666" s="12">
        <v>580546851</v>
      </c>
      <c r="C666" s="13" t="s">
        <v>410</v>
      </c>
      <c r="D666" s="17" t="s">
        <v>59</v>
      </c>
      <c r="E666" s="94">
        <v>27512</v>
      </c>
      <c r="F666" s="94">
        <v>11724</v>
      </c>
      <c r="G666" s="95">
        <f>F666/E666</f>
        <v>0.42614132015120676</v>
      </c>
      <c r="H666" s="96">
        <v>11724</v>
      </c>
      <c r="I666" s="15">
        <f>E666*$I$2</f>
        <v>19258.399999999998</v>
      </c>
      <c r="J666" s="15">
        <f>H666*$J$2</f>
        <v>9379.2</v>
      </c>
      <c r="K666" s="87">
        <f>ROUND(IF(IF(MIN(I666,J666)&lt;F666,MIN(I666,J666)-F666,MIN(I666,J666))&lt;0,0,IF(MIN(I666,J666)&lt;F666,MIN(I666,J666)-F666,MIN(I666,J666))),0)</f>
        <v>0</v>
      </c>
      <c r="L666" s="79">
        <v>13756</v>
      </c>
      <c r="M666" s="86">
        <f>ROUND(VLOOKUP(B666,גיליון1!A606:B1576,2,0),0)</f>
        <v>11724</v>
      </c>
      <c r="N666" s="108"/>
    </row>
    <row r="667" spans="1:14" ht="15.75">
      <c r="A667">
        <v>663</v>
      </c>
      <c r="B667" s="37">
        <v>580546992</v>
      </c>
      <c r="C667" s="13" t="s">
        <v>576</v>
      </c>
      <c r="D667" s="13" t="s">
        <v>56</v>
      </c>
      <c r="E667" s="94">
        <v>94412</v>
      </c>
      <c r="F667" s="94">
        <v>47206</v>
      </c>
      <c r="G667" s="95">
        <f>F667/E667</f>
        <v>0.5</v>
      </c>
      <c r="H667" s="96">
        <v>126736</v>
      </c>
      <c r="I667" s="15">
        <f>E667*$I$2</f>
        <v>66088.4</v>
      </c>
      <c r="J667" s="15">
        <f>H667*$J$2</f>
        <v>101388.8</v>
      </c>
      <c r="K667" s="87">
        <f>ROUND(IF(IF(MIN(I667,J667)&lt;F667,MIN(I667,J667)-F667,MIN(I667,J667))&lt;0,0,IF(MIN(I667,J667)&lt;F667,MIN(I667,J667)-F667,MIN(I667,J667))),0)</f>
        <v>66088</v>
      </c>
      <c r="L667" s="79">
        <v>47206</v>
      </c>
      <c r="M667" s="86">
        <f>ROUND(VLOOKUP(B667,גיליון1!A607:B1577,2,0),0)</f>
        <v>126737</v>
      </c>
      <c r="N667" s="108"/>
    </row>
    <row r="668" spans="1:14" ht="15.75">
      <c r="A668" s="3">
        <v>664</v>
      </c>
      <c r="B668" s="121">
        <v>580547339</v>
      </c>
      <c r="C668" s="120" t="s">
        <v>996</v>
      </c>
      <c r="D668" s="13"/>
      <c r="E668" s="94">
        <v>137007</v>
      </c>
      <c r="F668" s="94">
        <v>68504</v>
      </c>
      <c r="G668" s="95"/>
      <c r="H668" s="96">
        <v>104656</v>
      </c>
      <c r="I668" s="15"/>
      <c r="J668" s="15"/>
      <c r="K668" s="87"/>
      <c r="L668" s="79"/>
      <c r="M668" s="86"/>
      <c r="N668" s="108"/>
    </row>
    <row r="669" spans="1:14" ht="15.75">
      <c r="A669">
        <v>665</v>
      </c>
      <c r="B669" s="12">
        <v>580547578</v>
      </c>
      <c r="C669" s="13" t="s">
        <v>225</v>
      </c>
      <c r="D669" s="17" t="s">
        <v>59</v>
      </c>
      <c r="E669" s="94">
        <v>10870.5</v>
      </c>
      <c r="F669" s="94">
        <v>7609</v>
      </c>
      <c r="G669" s="95">
        <f aca="true" t="shared" si="134" ref="G669:G674">F669/E669</f>
        <v>0.6999678027689619</v>
      </c>
      <c r="H669" s="96">
        <v>19012</v>
      </c>
      <c r="I669" s="15">
        <f aca="true" t="shared" si="135" ref="I669:I674">E669*$I$2</f>
        <v>7609.349999999999</v>
      </c>
      <c r="J669" s="15">
        <f aca="true" t="shared" si="136" ref="J669:J674">H669*$J$2</f>
        <v>15209.6</v>
      </c>
      <c r="K669" s="87">
        <f aca="true" t="shared" si="137" ref="K669:K674">ROUND(IF(IF(MIN(I669,J669)&lt;F669,MIN(I669,J669)-F669,MIN(I669,J669))&lt;0,0,IF(MIN(I669,J669)&lt;F669,MIN(I669,J669)-F669,MIN(I669,J669))),0)</f>
        <v>7609</v>
      </c>
      <c r="L669" s="79">
        <v>7609.349999999999</v>
      </c>
      <c r="M669" s="86">
        <f>ROUND(VLOOKUP(B669,גיליון1!A608:B1578,2,0),0)</f>
        <v>19012</v>
      </c>
      <c r="N669" s="108"/>
    </row>
    <row r="670" spans="1:14" ht="15">
      <c r="A670" s="3">
        <v>666</v>
      </c>
      <c r="B670" s="41">
        <v>580548311</v>
      </c>
      <c r="C670" s="42" t="s">
        <v>411</v>
      </c>
      <c r="D670" s="42" t="s">
        <v>68</v>
      </c>
      <c r="E670" s="94">
        <v>58185.5</v>
      </c>
      <c r="F670" s="94">
        <v>12109</v>
      </c>
      <c r="G670" s="95">
        <f t="shared" si="134"/>
        <v>0.20811026802210172</v>
      </c>
      <c r="H670" s="96">
        <v>12109</v>
      </c>
      <c r="I670" s="15">
        <f t="shared" si="135"/>
        <v>40729.85</v>
      </c>
      <c r="J670" s="15">
        <f t="shared" si="136"/>
        <v>9687.2</v>
      </c>
      <c r="K670" s="87">
        <f t="shared" si="137"/>
        <v>0</v>
      </c>
      <c r="L670" s="79">
        <v>29092.749999999996</v>
      </c>
      <c r="M670" s="86">
        <f>ROUND(VLOOKUP(B670,גיליון1!A609:B1579,2,0),0)</f>
        <v>12109</v>
      </c>
      <c r="N670" s="108"/>
    </row>
    <row r="671" spans="1:14" ht="15.75">
      <c r="A671">
        <v>667</v>
      </c>
      <c r="B671" s="12">
        <v>580548717</v>
      </c>
      <c r="C671" s="13" t="s">
        <v>226</v>
      </c>
      <c r="D671" s="13" t="s">
        <v>56</v>
      </c>
      <c r="E671" s="94">
        <v>51739</v>
      </c>
      <c r="F671" s="94">
        <v>36217</v>
      </c>
      <c r="G671" s="95">
        <f t="shared" si="134"/>
        <v>0.6999942016660546</v>
      </c>
      <c r="H671" s="96">
        <v>55710</v>
      </c>
      <c r="I671" s="15">
        <f t="shared" si="135"/>
        <v>36217.299999999996</v>
      </c>
      <c r="J671" s="15">
        <f t="shared" si="136"/>
        <v>44568</v>
      </c>
      <c r="K671" s="87">
        <f t="shared" si="137"/>
        <v>36217</v>
      </c>
      <c r="L671" s="79">
        <v>36217.299999999996</v>
      </c>
      <c r="M671" s="86">
        <f>ROUND(VLOOKUP(B671,גיליון1!A610:B1580,2,0),0)</f>
        <v>55711</v>
      </c>
      <c r="N671" s="108"/>
    </row>
    <row r="672" spans="1:14" ht="15.75">
      <c r="A672" s="3">
        <v>668</v>
      </c>
      <c r="B672" s="12">
        <v>580548907</v>
      </c>
      <c r="C672" s="13" t="s">
        <v>412</v>
      </c>
      <c r="D672" s="13" t="s">
        <v>56</v>
      </c>
      <c r="E672" s="94">
        <v>259282.25</v>
      </c>
      <c r="F672" s="94">
        <v>181498</v>
      </c>
      <c r="G672" s="95">
        <f t="shared" si="134"/>
        <v>0.7000016391403576</v>
      </c>
      <c r="H672" s="96">
        <v>338791</v>
      </c>
      <c r="I672" s="15">
        <f t="shared" si="135"/>
        <v>181497.57499999998</v>
      </c>
      <c r="J672" s="15">
        <f t="shared" si="136"/>
        <v>271032.8</v>
      </c>
      <c r="K672" s="87">
        <f t="shared" si="137"/>
        <v>0</v>
      </c>
      <c r="L672" s="79">
        <v>181497.57499999998</v>
      </c>
      <c r="M672" s="86">
        <f>ROUND(VLOOKUP(B672,גיליון1!A611:B1581,2,0),0)</f>
        <v>338790</v>
      </c>
      <c r="N672" s="108"/>
    </row>
    <row r="673" spans="1:14" ht="15.75">
      <c r="A673">
        <v>669</v>
      </c>
      <c r="B673" s="60">
        <v>580549483</v>
      </c>
      <c r="C673" s="13" t="s">
        <v>755</v>
      </c>
      <c r="D673" s="13" t="s">
        <v>68</v>
      </c>
      <c r="E673" s="94">
        <v>55070.25</v>
      </c>
      <c r="F673" s="94">
        <v>27535</v>
      </c>
      <c r="G673" s="95">
        <f t="shared" si="134"/>
        <v>0.4999977301719168</v>
      </c>
      <c r="H673" s="96">
        <v>55513</v>
      </c>
      <c r="I673" s="15">
        <f t="shared" si="135"/>
        <v>38549.174999999996</v>
      </c>
      <c r="J673" s="15">
        <f t="shared" si="136"/>
        <v>44410.4</v>
      </c>
      <c r="K673" s="87">
        <f t="shared" si="137"/>
        <v>38549</v>
      </c>
      <c r="L673" s="79">
        <v>27535.125</v>
      </c>
      <c r="M673" s="86">
        <f>ROUND(VLOOKUP(B673,גיליון1!A612:B1582,2,0),0)</f>
        <v>55513</v>
      </c>
      <c r="N673" s="108"/>
    </row>
    <row r="674" spans="1:14" ht="15.75">
      <c r="A674" s="3">
        <v>670</v>
      </c>
      <c r="B674" s="12">
        <v>580549558</v>
      </c>
      <c r="C674" s="13" t="s">
        <v>227</v>
      </c>
      <c r="D674" s="13" t="s">
        <v>56</v>
      </c>
      <c r="E674" s="94">
        <v>54764</v>
      </c>
      <c r="F674" s="94">
        <v>35655</v>
      </c>
      <c r="G674" s="95">
        <f t="shared" si="134"/>
        <v>0.6510663939814476</v>
      </c>
      <c r="H674" s="96">
        <v>44568</v>
      </c>
      <c r="I674" s="15">
        <f t="shared" si="135"/>
        <v>38334.799999999996</v>
      </c>
      <c r="J674" s="15">
        <f t="shared" si="136"/>
        <v>35654.4</v>
      </c>
      <c r="K674" s="87">
        <f t="shared" si="137"/>
        <v>0</v>
      </c>
      <c r="L674" s="79">
        <v>35654.528000000006</v>
      </c>
      <c r="M674" s="86">
        <f>ROUND(VLOOKUP(B674,גיליון1!A613:B1583,2,0),0)</f>
        <v>44568</v>
      </c>
      <c r="N674" s="108"/>
    </row>
    <row r="675" spans="1:14" ht="15.75">
      <c r="A675">
        <v>671</v>
      </c>
      <c r="B675" s="127">
        <v>580550218</v>
      </c>
      <c r="C675" s="45" t="s">
        <v>1088</v>
      </c>
      <c r="D675" s="13"/>
      <c r="E675" s="94">
        <v>104574</v>
      </c>
      <c r="F675" s="94">
        <v>31781</v>
      </c>
      <c r="G675" s="95"/>
      <c r="H675" s="96">
        <v>63562</v>
      </c>
      <c r="I675" s="15"/>
      <c r="J675" s="15"/>
      <c r="K675" s="87"/>
      <c r="L675" s="79"/>
      <c r="M675" s="86"/>
      <c r="N675" s="108"/>
    </row>
    <row r="676" spans="1:14" ht="15.75">
      <c r="A676" s="3">
        <v>672</v>
      </c>
      <c r="B676" s="13">
        <v>580550374</v>
      </c>
      <c r="C676" s="13" t="s">
        <v>577</v>
      </c>
      <c r="D676" s="13" t="s">
        <v>64</v>
      </c>
      <c r="E676" s="94">
        <v>12915.25</v>
      </c>
      <c r="F676" s="94">
        <v>6458</v>
      </c>
      <c r="G676" s="95">
        <f aca="true" t="shared" si="138" ref="G676:G688">F676/E676</f>
        <v>0.5000290354425969</v>
      </c>
      <c r="H676" s="96">
        <v>25173</v>
      </c>
      <c r="I676" s="15">
        <f aca="true" t="shared" si="139" ref="I676:I688">E676*$I$2</f>
        <v>9040.675</v>
      </c>
      <c r="J676" s="15">
        <f aca="true" t="shared" si="140" ref="J676:J688">H676*$J$2</f>
        <v>20138.4</v>
      </c>
      <c r="K676" s="87">
        <f aca="true" t="shared" si="141" ref="K676:K688">ROUND(IF(IF(MIN(I676,J676)&lt;F676,MIN(I676,J676)-F676,MIN(I676,J676))&lt;0,0,IF(MIN(I676,J676)&lt;F676,MIN(I676,J676)-F676,MIN(I676,J676))),0)</f>
        <v>9041</v>
      </c>
      <c r="L676" s="79">
        <v>6457.625</v>
      </c>
      <c r="M676" s="86">
        <f>ROUND(VLOOKUP(B676,גיליון1!A614:B1584,2,0),0)</f>
        <v>25173</v>
      </c>
      <c r="N676" s="108"/>
    </row>
    <row r="677" spans="1:14" ht="15.75">
      <c r="A677">
        <v>673</v>
      </c>
      <c r="B677" s="12">
        <v>580550432</v>
      </c>
      <c r="C677" s="13" t="s">
        <v>413</v>
      </c>
      <c r="D677" s="17" t="s">
        <v>59</v>
      </c>
      <c r="E677" s="94">
        <v>138093</v>
      </c>
      <c r="F677" s="94">
        <v>96665</v>
      </c>
      <c r="G677" s="95">
        <f t="shared" si="138"/>
        <v>0.6999992758503327</v>
      </c>
      <c r="H677" s="96">
        <v>144765</v>
      </c>
      <c r="I677" s="15">
        <f t="shared" si="139"/>
        <v>96665.09999999999</v>
      </c>
      <c r="J677" s="15">
        <f t="shared" si="140"/>
        <v>115812</v>
      </c>
      <c r="K677" s="87">
        <f t="shared" si="141"/>
        <v>96665</v>
      </c>
      <c r="L677" s="79">
        <v>96665.09999999999</v>
      </c>
      <c r="M677" s="86">
        <f>ROUND(VLOOKUP(B677,גיליון1!A615:B1585,2,0),0)</f>
        <v>144765</v>
      </c>
      <c r="N677" s="108"/>
    </row>
    <row r="678" spans="1:14" ht="15.75">
      <c r="A678" s="3">
        <v>674</v>
      </c>
      <c r="B678" s="53">
        <v>580551109</v>
      </c>
      <c r="C678" s="55" t="s">
        <v>668</v>
      </c>
      <c r="D678" s="55" t="s">
        <v>56</v>
      </c>
      <c r="E678" s="94">
        <v>109730</v>
      </c>
      <c r="F678" s="94">
        <v>54865</v>
      </c>
      <c r="G678" s="95">
        <f t="shared" si="138"/>
        <v>0.5</v>
      </c>
      <c r="H678" s="96">
        <v>104120</v>
      </c>
      <c r="I678" s="15">
        <f t="shared" si="139"/>
        <v>76811</v>
      </c>
      <c r="J678" s="15">
        <f t="shared" si="140"/>
        <v>83296</v>
      </c>
      <c r="K678" s="87">
        <f t="shared" si="141"/>
        <v>76811</v>
      </c>
      <c r="L678" s="79">
        <v>54865</v>
      </c>
      <c r="M678" s="86">
        <f>ROUND(VLOOKUP(B678,גיליון1!A616:B1586,2,0),0)</f>
        <v>104120</v>
      </c>
      <c r="N678" s="108"/>
    </row>
    <row r="679" spans="1:14" ht="15.75">
      <c r="A679">
        <v>675</v>
      </c>
      <c r="B679" s="12">
        <v>580551323</v>
      </c>
      <c r="C679" s="13" t="s">
        <v>414</v>
      </c>
      <c r="D679" s="13" t="s">
        <v>56</v>
      </c>
      <c r="E679" s="94">
        <v>174878.25</v>
      </c>
      <c r="F679" s="94">
        <v>87439</v>
      </c>
      <c r="G679" s="95">
        <f t="shared" si="138"/>
        <v>0.499999285217001</v>
      </c>
      <c r="H679" s="96">
        <v>175682</v>
      </c>
      <c r="I679" s="15">
        <f t="shared" si="139"/>
        <v>122414.775</v>
      </c>
      <c r="J679" s="15">
        <f t="shared" si="140"/>
        <v>140545.6</v>
      </c>
      <c r="K679" s="87">
        <f t="shared" si="141"/>
        <v>122415</v>
      </c>
      <c r="L679" s="79">
        <v>87439.125</v>
      </c>
      <c r="M679" s="86">
        <f>ROUND(VLOOKUP(B679,גיליון1!A617:B1587,2,0),0)</f>
        <v>175677</v>
      </c>
      <c r="N679" s="108"/>
    </row>
    <row r="680" spans="1:14" ht="15.75">
      <c r="A680" s="3">
        <v>676</v>
      </c>
      <c r="B680" s="12">
        <v>580551588</v>
      </c>
      <c r="C680" s="12" t="s">
        <v>646</v>
      </c>
      <c r="D680" s="13" t="s">
        <v>68</v>
      </c>
      <c r="E680" s="94">
        <v>118487.25</v>
      </c>
      <c r="F680" s="94">
        <v>59244</v>
      </c>
      <c r="G680" s="95">
        <f t="shared" si="138"/>
        <v>0.500003164897489</v>
      </c>
      <c r="H680" s="96">
        <v>95696</v>
      </c>
      <c r="I680" s="15">
        <f t="shared" si="139"/>
        <v>82941.075</v>
      </c>
      <c r="J680" s="15">
        <f t="shared" si="140"/>
        <v>76556.8</v>
      </c>
      <c r="K680" s="87">
        <f t="shared" si="141"/>
        <v>76557</v>
      </c>
      <c r="L680" s="79">
        <v>59243.625</v>
      </c>
      <c r="M680" s="86">
        <f>ROUND(VLOOKUP(B680,גיליון1!A618:B1588,2,0),0)</f>
        <v>99049</v>
      </c>
      <c r="N680" s="108"/>
    </row>
    <row r="681" spans="1:14" ht="15.75">
      <c r="A681">
        <v>677</v>
      </c>
      <c r="B681" s="12">
        <v>580551802</v>
      </c>
      <c r="C681" s="13" t="s">
        <v>486</v>
      </c>
      <c r="D681" s="17" t="s">
        <v>56</v>
      </c>
      <c r="E681" s="94">
        <v>56617.5</v>
      </c>
      <c r="F681" s="94">
        <v>39110</v>
      </c>
      <c r="G681" s="95">
        <f t="shared" si="138"/>
        <v>0.6907758201969356</v>
      </c>
      <c r="H681" s="96">
        <v>48888</v>
      </c>
      <c r="I681" s="15">
        <f t="shared" si="139"/>
        <v>39632.25</v>
      </c>
      <c r="J681" s="15">
        <f t="shared" si="140"/>
        <v>39110.4</v>
      </c>
      <c r="K681" s="87">
        <f t="shared" si="141"/>
        <v>39110</v>
      </c>
      <c r="L681" s="79">
        <v>39110.4</v>
      </c>
      <c r="M681" s="86">
        <f>ROUND(VLOOKUP(B681,גיליון1!A619:B1589,2,0),0)</f>
        <v>48886</v>
      </c>
      <c r="N681" s="108"/>
    </row>
    <row r="682" spans="1:14" ht="15.75">
      <c r="A682" s="3">
        <v>678</v>
      </c>
      <c r="B682" s="53">
        <v>580552107</v>
      </c>
      <c r="C682" s="54" t="s">
        <v>670</v>
      </c>
      <c r="D682" s="54" t="s">
        <v>59</v>
      </c>
      <c r="E682" s="94">
        <v>6928</v>
      </c>
      <c r="F682" s="94">
        <v>3464</v>
      </c>
      <c r="G682" s="95">
        <f t="shared" si="138"/>
        <v>0.5</v>
      </c>
      <c r="H682" s="96">
        <v>3862</v>
      </c>
      <c r="I682" s="15">
        <f t="shared" si="139"/>
        <v>4849.599999999999</v>
      </c>
      <c r="J682" s="15">
        <f t="shared" si="140"/>
        <v>3089.6000000000004</v>
      </c>
      <c r="K682" s="87">
        <f t="shared" si="141"/>
        <v>0</v>
      </c>
      <c r="L682" s="79">
        <v>3464.0000000000005</v>
      </c>
      <c r="M682" s="86">
        <f>ROUND(VLOOKUP(B682,גיליון1!A620:B1590,2,0),0)</f>
        <v>3862</v>
      </c>
      <c r="N682" s="108"/>
    </row>
    <row r="683" spans="1:14" ht="15.75">
      <c r="A683">
        <v>679</v>
      </c>
      <c r="B683" s="12">
        <v>580552461</v>
      </c>
      <c r="C683" s="12" t="s">
        <v>647</v>
      </c>
      <c r="D683" s="13" t="s">
        <v>59</v>
      </c>
      <c r="E683" s="94">
        <v>132143.75</v>
      </c>
      <c r="F683" s="94">
        <v>92501</v>
      </c>
      <c r="G683" s="95">
        <f t="shared" si="138"/>
        <v>0.7000028378186633</v>
      </c>
      <c r="H683" s="96">
        <v>162471</v>
      </c>
      <c r="I683" s="15">
        <f t="shared" si="139"/>
        <v>92500.625</v>
      </c>
      <c r="J683" s="15">
        <f t="shared" si="140"/>
        <v>129976.8</v>
      </c>
      <c r="K683" s="87">
        <f t="shared" si="141"/>
        <v>0</v>
      </c>
      <c r="L683" s="79">
        <v>92500.625</v>
      </c>
      <c r="M683" s="86">
        <f>ROUND(VLOOKUP(B683,גיליון1!A621:B1591,2,0),0)</f>
        <v>162471</v>
      </c>
      <c r="N683" s="108"/>
    </row>
    <row r="684" spans="1:14" ht="15">
      <c r="A684" s="3">
        <v>680</v>
      </c>
      <c r="B684" s="18">
        <v>580553022</v>
      </c>
      <c r="C684" s="4" t="s">
        <v>228</v>
      </c>
      <c r="D684" s="4" t="s">
        <v>68</v>
      </c>
      <c r="E684" s="94">
        <v>65434.5</v>
      </c>
      <c r="F684" s="94">
        <v>38486</v>
      </c>
      <c r="G684" s="95">
        <f t="shared" si="138"/>
        <v>0.5881606797637332</v>
      </c>
      <c r="H684" s="96">
        <v>48108</v>
      </c>
      <c r="I684" s="15">
        <f t="shared" si="139"/>
        <v>45804.149999999994</v>
      </c>
      <c r="J684" s="15">
        <f t="shared" si="140"/>
        <v>38486.4</v>
      </c>
      <c r="K684" s="87">
        <f t="shared" si="141"/>
        <v>38486</v>
      </c>
      <c r="L684" s="79">
        <v>38486.4</v>
      </c>
      <c r="M684" s="86">
        <f>ROUND(VLOOKUP(B684,גיליון1!A622:B1592,2,0),0)</f>
        <v>48107</v>
      </c>
      <c r="N684" s="108"/>
    </row>
    <row r="685" spans="1:14" ht="15.75">
      <c r="A685">
        <v>681</v>
      </c>
      <c r="B685" s="12">
        <v>580553071</v>
      </c>
      <c r="C685" s="13" t="s">
        <v>605</v>
      </c>
      <c r="D685" s="13" t="s">
        <v>56</v>
      </c>
      <c r="E685" s="94">
        <v>97939</v>
      </c>
      <c r="F685" s="94">
        <v>62006</v>
      </c>
      <c r="G685" s="95">
        <f t="shared" si="138"/>
        <v>0.6331083633690359</v>
      </c>
      <c r="H685" s="96">
        <v>77507</v>
      </c>
      <c r="I685" s="15">
        <f t="shared" si="139"/>
        <v>68557.3</v>
      </c>
      <c r="J685" s="15">
        <f t="shared" si="140"/>
        <v>62005.600000000006</v>
      </c>
      <c r="K685" s="87">
        <f t="shared" si="141"/>
        <v>0</v>
      </c>
      <c r="L685" s="79">
        <v>62005.600000000006</v>
      </c>
      <c r="M685" s="86">
        <f>ROUND(VLOOKUP(B685,גיליון1!A623:B1593,2,0),0)</f>
        <v>56570</v>
      </c>
      <c r="N685" s="108"/>
    </row>
    <row r="686" spans="1:14" ht="15.75">
      <c r="A686" s="3">
        <v>682</v>
      </c>
      <c r="B686" s="12">
        <v>580553097</v>
      </c>
      <c r="C686" s="13" t="s">
        <v>473</v>
      </c>
      <c r="D686" s="13" t="s">
        <v>56</v>
      </c>
      <c r="E686" s="94">
        <v>41542</v>
      </c>
      <c r="F686" s="94">
        <v>29079</v>
      </c>
      <c r="G686" s="95">
        <f t="shared" si="138"/>
        <v>0.6999903711906023</v>
      </c>
      <c r="H686" s="96">
        <v>49229</v>
      </c>
      <c r="I686" s="15">
        <f t="shared" si="139"/>
        <v>29079.399999999998</v>
      </c>
      <c r="J686" s="15">
        <f t="shared" si="140"/>
        <v>39383.200000000004</v>
      </c>
      <c r="K686" s="87">
        <f t="shared" si="141"/>
        <v>29079</v>
      </c>
      <c r="L686" s="79">
        <v>29079.399999999998</v>
      </c>
      <c r="M686" s="86">
        <f>ROUND(VLOOKUP(B686,גיליון1!A624:B1594,2,0),0)</f>
        <v>49229</v>
      </c>
      <c r="N686" s="108"/>
    </row>
    <row r="687" spans="1:14" ht="15.75">
      <c r="A687">
        <v>683</v>
      </c>
      <c r="B687" s="12">
        <v>580553741</v>
      </c>
      <c r="C687" s="13" t="s">
        <v>543</v>
      </c>
      <c r="D687" s="13" t="s">
        <v>56</v>
      </c>
      <c r="E687" s="94">
        <f>353932.5+96562</f>
        <v>450494.5</v>
      </c>
      <c r="F687" s="94">
        <v>182180</v>
      </c>
      <c r="G687" s="95">
        <f t="shared" si="138"/>
        <v>0.4044000537187468</v>
      </c>
      <c r="H687" s="96">
        <f>227725+93061</f>
        <v>320786</v>
      </c>
      <c r="I687" s="15">
        <f t="shared" si="139"/>
        <v>315346.14999999997</v>
      </c>
      <c r="J687" s="15">
        <f t="shared" si="140"/>
        <v>256628.80000000002</v>
      </c>
      <c r="K687" s="87">
        <f t="shared" si="141"/>
        <v>256629</v>
      </c>
      <c r="L687" s="79">
        <v>182180</v>
      </c>
      <c r="M687" s="86">
        <f>ROUND(VLOOKUP(B687,גיליון1!A625:B1595,2,0),0)</f>
        <v>227725</v>
      </c>
      <c r="N687" s="108"/>
    </row>
    <row r="688" spans="1:14" ht="15.75">
      <c r="A688" s="3">
        <v>684</v>
      </c>
      <c r="B688" s="12">
        <v>580555647</v>
      </c>
      <c r="C688" s="13" t="s">
        <v>302</v>
      </c>
      <c r="D688" s="13" t="s">
        <v>56</v>
      </c>
      <c r="E688" s="94">
        <v>84130.25</v>
      </c>
      <c r="F688" s="94">
        <v>58891</v>
      </c>
      <c r="G688" s="95">
        <f t="shared" si="138"/>
        <v>0.6999979198920722</v>
      </c>
      <c r="H688" s="96">
        <v>76171</v>
      </c>
      <c r="I688" s="15">
        <f t="shared" si="139"/>
        <v>58891.174999999996</v>
      </c>
      <c r="J688" s="15">
        <f t="shared" si="140"/>
        <v>60936.8</v>
      </c>
      <c r="K688" s="87">
        <f t="shared" si="141"/>
        <v>58891</v>
      </c>
      <c r="L688" s="79">
        <v>58891.174999999996</v>
      </c>
      <c r="M688" s="86">
        <f>ROUND(VLOOKUP(B688,גיליון1!A626:B1596,2,0),0)</f>
        <v>76169</v>
      </c>
      <c r="N688" s="108"/>
    </row>
    <row r="689" spans="1:14" ht="15.75">
      <c r="A689">
        <v>685</v>
      </c>
      <c r="B689" s="18">
        <v>580556447</v>
      </c>
      <c r="C689" s="18" t="s">
        <v>998</v>
      </c>
      <c r="D689" s="13"/>
      <c r="E689" s="94"/>
      <c r="F689" s="94"/>
      <c r="G689" s="95"/>
      <c r="H689" s="96">
        <v>15711</v>
      </c>
      <c r="I689" s="15"/>
      <c r="J689" s="15"/>
      <c r="K689" s="87"/>
      <c r="L689" s="79"/>
      <c r="M689" s="86"/>
      <c r="N689" s="108"/>
    </row>
    <row r="690" spans="1:14" ht="15.75">
      <c r="A690" s="3">
        <v>686</v>
      </c>
      <c r="B690" s="13">
        <v>580556488</v>
      </c>
      <c r="C690" s="13" t="s">
        <v>415</v>
      </c>
      <c r="D690" s="13" t="s">
        <v>64</v>
      </c>
      <c r="E690" s="94">
        <v>53916.25</v>
      </c>
      <c r="F690" s="94">
        <v>37741</v>
      </c>
      <c r="G690" s="95">
        <f aca="true" t="shared" si="142" ref="G690:G697">F690/E690</f>
        <v>0.6999930447685068</v>
      </c>
      <c r="H690" s="96">
        <v>82050</v>
      </c>
      <c r="I690" s="15">
        <f aca="true" t="shared" si="143" ref="I690:I697">E690*$I$2</f>
        <v>37741.375</v>
      </c>
      <c r="J690" s="15">
        <f aca="true" t="shared" si="144" ref="J690:J697">H690*$J$2</f>
        <v>65640</v>
      </c>
      <c r="K690" s="87">
        <f aca="true" t="shared" si="145" ref="K690:K697">ROUND(IF(IF(MIN(I690,J690)&lt;F690,MIN(I690,J690)-F690,MIN(I690,J690))&lt;0,0,IF(MIN(I690,J690)&lt;F690,MIN(I690,J690)-F690,MIN(I690,J690))),0)</f>
        <v>37741</v>
      </c>
      <c r="L690" s="79">
        <v>37741.375</v>
      </c>
      <c r="M690" s="86">
        <f>ROUND(VLOOKUP(B690,גיליון1!A627:B1597,2,0),0)</f>
        <v>82048</v>
      </c>
      <c r="N690" s="108"/>
    </row>
    <row r="691" spans="1:14" ht="15.75">
      <c r="A691">
        <v>687</v>
      </c>
      <c r="B691" s="12">
        <v>580557965</v>
      </c>
      <c r="C691" s="13" t="s">
        <v>544</v>
      </c>
      <c r="D691" s="13" t="s">
        <v>56</v>
      </c>
      <c r="E691" s="94">
        <v>95357.8</v>
      </c>
      <c r="F691" s="94">
        <v>66750</v>
      </c>
      <c r="G691" s="95">
        <f t="shared" si="142"/>
        <v>0.6999951760632062</v>
      </c>
      <c r="H691" s="96">
        <v>94266</v>
      </c>
      <c r="I691" s="15">
        <f t="shared" si="143"/>
        <v>66750.45999999999</v>
      </c>
      <c r="J691" s="15">
        <f t="shared" si="144"/>
        <v>75412.8</v>
      </c>
      <c r="K691" s="87">
        <f t="shared" si="145"/>
        <v>66750</v>
      </c>
      <c r="L691" s="79">
        <v>66750.45999999999</v>
      </c>
      <c r="M691" s="86">
        <f>ROUND(VLOOKUP(B691,גיליון1!A628:B1598,2,0),0)</f>
        <v>94267</v>
      </c>
      <c r="N691" s="108"/>
    </row>
    <row r="692" spans="1:14" ht="15.75">
      <c r="A692" s="3">
        <v>688</v>
      </c>
      <c r="B692" s="12">
        <v>580558708</v>
      </c>
      <c r="C692" s="13" t="s">
        <v>303</v>
      </c>
      <c r="D692" s="17" t="s">
        <v>59</v>
      </c>
      <c r="E692" s="94">
        <v>111369</v>
      </c>
      <c r="F692" s="94">
        <v>77958</v>
      </c>
      <c r="G692" s="95">
        <f t="shared" si="142"/>
        <v>0.6999973062521887</v>
      </c>
      <c r="H692" s="96">
        <v>113118</v>
      </c>
      <c r="I692" s="15">
        <f t="shared" si="143"/>
        <v>77958.29999999999</v>
      </c>
      <c r="J692" s="15">
        <f t="shared" si="144"/>
        <v>90494.40000000001</v>
      </c>
      <c r="K692" s="87">
        <f t="shared" si="145"/>
        <v>77958</v>
      </c>
      <c r="L692" s="79">
        <v>77958.29999999999</v>
      </c>
      <c r="M692" s="86">
        <f>ROUND(VLOOKUP(B692,גיליון1!A629:B1599,2,0),0)</f>
        <v>113121</v>
      </c>
      <c r="N692" s="108"/>
    </row>
    <row r="693" spans="1:14" ht="15.75">
      <c r="A693">
        <v>689</v>
      </c>
      <c r="B693" s="13">
        <v>580560548</v>
      </c>
      <c r="C693" s="13" t="s">
        <v>229</v>
      </c>
      <c r="D693" s="13" t="s">
        <v>70</v>
      </c>
      <c r="E693" s="94">
        <v>130125.5</v>
      </c>
      <c r="F693" s="94">
        <v>91088</v>
      </c>
      <c r="G693" s="95">
        <f t="shared" si="142"/>
        <v>0.7000011527333229</v>
      </c>
      <c r="H693" s="96">
        <v>201227</v>
      </c>
      <c r="I693" s="15">
        <f t="shared" si="143"/>
        <v>91087.84999999999</v>
      </c>
      <c r="J693" s="15">
        <f t="shared" si="144"/>
        <v>160981.6</v>
      </c>
      <c r="K693" s="87">
        <f t="shared" si="145"/>
        <v>0</v>
      </c>
      <c r="L693" s="79">
        <v>91087.84999999999</v>
      </c>
      <c r="M693" s="86">
        <f>ROUND(VLOOKUP(B693,גיליון1!A630:B1600,2,0),0)</f>
        <v>201224</v>
      </c>
      <c r="N693" s="108"/>
    </row>
    <row r="694" spans="1:14" ht="15.75">
      <c r="A694" s="3">
        <v>690</v>
      </c>
      <c r="B694" s="37">
        <v>580561868</v>
      </c>
      <c r="C694" s="13" t="s">
        <v>416</v>
      </c>
      <c r="D694" s="13" t="s">
        <v>56</v>
      </c>
      <c r="E694" s="94">
        <v>32980.75</v>
      </c>
      <c r="F694" s="94">
        <v>16490</v>
      </c>
      <c r="G694" s="95">
        <f t="shared" si="142"/>
        <v>0.49998862973097946</v>
      </c>
      <c r="H694" s="96">
        <v>37093</v>
      </c>
      <c r="I694" s="15">
        <f t="shared" si="143"/>
        <v>23086.524999999998</v>
      </c>
      <c r="J694" s="15">
        <f t="shared" si="144"/>
        <v>29674.4</v>
      </c>
      <c r="K694" s="87">
        <f t="shared" si="145"/>
        <v>23087</v>
      </c>
      <c r="L694" s="79">
        <v>16490.375</v>
      </c>
      <c r="M694" s="86">
        <f>ROUND(VLOOKUP(B694,גיליון1!A631:B1601,2,0),0)</f>
        <v>37093</v>
      </c>
      <c r="N694" s="108"/>
    </row>
    <row r="695" spans="1:14" ht="15.75">
      <c r="A695">
        <v>691</v>
      </c>
      <c r="B695" s="12">
        <v>580561918</v>
      </c>
      <c r="C695" s="13" t="s">
        <v>474</v>
      </c>
      <c r="D695" s="17" t="s">
        <v>59</v>
      </c>
      <c r="E695" s="94">
        <v>95602.25</v>
      </c>
      <c r="F695" s="94">
        <v>66922</v>
      </c>
      <c r="G695" s="95">
        <f t="shared" si="142"/>
        <v>0.7000044455020672</v>
      </c>
      <c r="H695" s="96">
        <v>100222</v>
      </c>
      <c r="I695" s="15">
        <f t="shared" si="143"/>
        <v>66921.575</v>
      </c>
      <c r="J695" s="15">
        <f t="shared" si="144"/>
        <v>80177.6</v>
      </c>
      <c r="K695" s="87">
        <f t="shared" si="145"/>
        <v>0</v>
      </c>
      <c r="L695" s="79">
        <v>66921.575</v>
      </c>
      <c r="M695" s="86">
        <f>ROUND(VLOOKUP(B695,גיליון1!A632:B1602,2,0),0)</f>
        <v>100222</v>
      </c>
      <c r="N695" s="108"/>
    </row>
    <row r="696" spans="1:14" ht="15.75">
      <c r="A696" s="3">
        <v>692</v>
      </c>
      <c r="B696" s="12">
        <v>580562494</v>
      </c>
      <c r="C696" s="13" t="s">
        <v>230</v>
      </c>
      <c r="D696" s="17" t="s">
        <v>59</v>
      </c>
      <c r="E696" s="94">
        <v>69046</v>
      </c>
      <c r="F696" s="94">
        <v>48332</v>
      </c>
      <c r="G696" s="95">
        <f t="shared" si="142"/>
        <v>0.6999971033803551</v>
      </c>
      <c r="H696" s="96">
        <v>86859</v>
      </c>
      <c r="I696" s="15">
        <f t="shared" si="143"/>
        <v>48332.2</v>
      </c>
      <c r="J696" s="15">
        <f t="shared" si="144"/>
        <v>69487.2</v>
      </c>
      <c r="K696" s="87">
        <f t="shared" si="145"/>
        <v>48332</v>
      </c>
      <c r="L696" s="79">
        <v>48332.2</v>
      </c>
      <c r="M696" s="86">
        <f>ROUND(VLOOKUP(B696,גיליון1!A633:B1603,2,0),0)</f>
        <v>86859</v>
      </c>
      <c r="N696" s="108"/>
    </row>
    <row r="697" spans="1:14" ht="15.75">
      <c r="A697">
        <v>693</v>
      </c>
      <c r="B697" s="12">
        <v>580563039</v>
      </c>
      <c r="C697" s="13" t="s">
        <v>475</v>
      </c>
      <c r="D697" s="17" t="s">
        <v>59</v>
      </c>
      <c r="E697" s="94">
        <v>53916.25</v>
      </c>
      <c r="F697" s="94">
        <v>26958</v>
      </c>
      <c r="G697" s="95">
        <f t="shared" si="142"/>
        <v>0.49999768158950225</v>
      </c>
      <c r="H697" s="96">
        <v>63891</v>
      </c>
      <c r="I697" s="15">
        <f t="shared" si="143"/>
        <v>37741.375</v>
      </c>
      <c r="J697" s="15">
        <f t="shared" si="144"/>
        <v>51112.8</v>
      </c>
      <c r="K697" s="87">
        <f t="shared" si="145"/>
        <v>37741</v>
      </c>
      <c r="L697" s="79">
        <v>26958.125</v>
      </c>
      <c r="M697" s="86">
        <f>ROUND(VLOOKUP(B697,גיליון1!A634:B1604,2,0),0)</f>
        <v>63892</v>
      </c>
      <c r="N697" s="108"/>
    </row>
    <row r="698" spans="1:14" ht="15.75">
      <c r="A698" s="3">
        <v>694</v>
      </c>
      <c r="B698" s="119">
        <v>580563120</v>
      </c>
      <c r="C698" s="119" t="s">
        <v>1000</v>
      </c>
      <c r="D698" s="13"/>
      <c r="E698" s="94">
        <v>73402</v>
      </c>
      <c r="F698" s="94">
        <v>20212</v>
      </c>
      <c r="G698" s="95"/>
      <c r="H698" s="96">
        <v>55568</v>
      </c>
      <c r="I698" s="15"/>
      <c r="J698" s="15"/>
      <c r="K698" s="87"/>
      <c r="L698" s="79"/>
      <c r="M698" s="86"/>
      <c r="N698" s="108"/>
    </row>
    <row r="699" spans="1:14" ht="15.75">
      <c r="A699">
        <v>695</v>
      </c>
      <c r="B699" s="13">
        <v>580563146</v>
      </c>
      <c r="C699" s="13" t="s">
        <v>417</v>
      </c>
      <c r="D699" s="13" t="s">
        <v>64</v>
      </c>
      <c r="E699" s="94">
        <v>41226.8</v>
      </c>
      <c r="F699" s="94">
        <v>16491</v>
      </c>
      <c r="G699" s="95">
        <f>F699/E699</f>
        <v>0.4000067916986038</v>
      </c>
      <c r="H699" s="96">
        <v>75150</v>
      </c>
      <c r="I699" s="15">
        <f>E699*$I$2</f>
        <v>28858.76</v>
      </c>
      <c r="J699" s="15">
        <f>H699*$J$2</f>
        <v>60120</v>
      </c>
      <c r="K699" s="87">
        <f>ROUND(IF(IF(MIN(I699,J699)&lt;F699,MIN(I699,J699)-F699,MIN(I699,J699))&lt;0,0,IF(MIN(I699,J699)&lt;F699,MIN(I699,J699)-F699,MIN(I699,J699))),0)</f>
        <v>28859</v>
      </c>
      <c r="L699" s="79">
        <v>16490.72</v>
      </c>
      <c r="M699" s="86">
        <f>ROUND(VLOOKUP(B699,גיליון1!A635:B1605,2,0),0)</f>
        <v>75150</v>
      </c>
      <c r="N699" s="108"/>
    </row>
    <row r="700" spans="1:14" ht="15.75">
      <c r="A700" s="3">
        <v>696</v>
      </c>
      <c r="B700" s="12">
        <v>580563625</v>
      </c>
      <c r="C700" s="13" t="s">
        <v>231</v>
      </c>
      <c r="D700" s="17" t="s">
        <v>59</v>
      </c>
      <c r="E700" s="6">
        <v>175839.75</v>
      </c>
      <c r="F700" s="6">
        <v>123088</v>
      </c>
      <c r="G700" s="7">
        <f>F700/E700</f>
        <v>0.7000009952243449</v>
      </c>
      <c r="H700" s="14">
        <v>229208</v>
      </c>
      <c r="I700" s="15">
        <f>E700*$I$2</f>
        <v>123087.825</v>
      </c>
      <c r="J700" s="15">
        <f>H700*$J$2</f>
        <v>183366.40000000002</v>
      </c>
      <c r="K700" s="85">
        <f>ROUND(IF(IF(MIN(I700,J700)&lt;F700,MIN(I700,J700)-F700,MIN(I700,J700))&lt;0,0,IF(MIN(I700,J700)&lt;F700,MIN(I700,J700)-F700,MIN(I700,J700))),0)</f>
        <v>0</v>
      </c>
      <c r="L700" s="79">
        <v>123087.825</v>
      </c>
      <c r="M700" s="86">
        <f>ROUND(VLOOKUP(B700,גיליון1!A636:B1606,2,0),0)</f>
        <v>229210</v>
      </c>
      <c r="N700" s="108"/>
    </row>
    <row r="701" spans="1:14" ht="15">
      <c r="A701">
        <v>697</v>
      </c>
      <c r="B701" s="41">
        <v>580563740</v>
      </c>
      <c r="C701" s="42" t="s">
        <v>418</v>
      </c>
      <c r="D701" s="42" t="s">
        <v>68</v>
      </c>
      <c r="E701" s="6">
        <v>39875.25</v>
      </c>
      <c r="F701" s="6">
        <v>15770</v>
      </c>
      <c r="G701" s="7">
        <f>F701/E701</f>
        <v>0.3954834138970916</v>
      </c>
      <c r="H701" s="14">
        <v>15769</v>
      </c>
      <c r="I701" s="15">
        <f>E701*$I$2</f>
        <v>27912.675</v>
      </c>
      <c r="J701" s="15">
        <f>H701*$J$2</f>
        <v>12615.2</v>
      </c>
      <c r="K701" s="85">
        <f>ROUND(IF(IF(MIN(I701,J701)&lt;F701,MIN(I701,J701)-F701,MIN(I701,J701))&lt;0,0,IF(MIN(I701,J701)&lt;F701,MIN(I701,J701)-F701,MIN(I701,J701))),0)</f>
        <v>0</v>
      </c>
      <c r="L701" s="79">
        <v>19937.625</v>
      </c>
      <c r="M701" s="86">
        <f>ROUND(VLOOKUP(B701,גיליון1!A637:B1607,2,0),0)</f>
        <v>15769</v>
      </c>
      <c r="N701" s="108"/>
    </row>
    <row r="702" spans="1:14" ht="15.75">
      <c r="A702" s="3">
        <v>698</v>
      </c>
      <c r="B702" s="12">
        <v>580564961</v>
      </c>
      <c r="C702" s="13" t="s">
        <v>232</v>
      </c>
      <c r="D702" s="17" t="s">
        <v>68</v>
      </c>
      <c r="E702" s="6">
        <v>85750.25</v>
      </c>
      <c r="F702" s="6">
        <v>42875</v>
      </c>
      <c r="G702" s="7">
        <f>F702/E702</f>
        <v>0.49999854227830237</v>
      </c>
      <c r="H702" s="14">
        <v>50630</v>
      </c>
      <c r="I702" s="15">
        <f>E702*$I$2</f>
        <v>60025.174999999996</v>
      </c>
      <c r="J702" s="15">
        <f>H702*$J$2</f>
        <v>40504</v>
      </c>
      <c r="K702" s="85">
        <f>ROUND(IF(IF(MIN(I702,J702)&lt;F702,MIN(I702,J702)-F702,MIN(I702,J702))&lt;0,0,IF(MIN(I702,J702)&lt;F702,MIN(I702,J702)-F702,MIN(I702,J702))),0)</f>
        <v>0</v>
      </c>
      <c r="L702" s="79">
        <v>42875.125</v>
      </c>
      <c r="M702" s="86">
        <f>ROUND(VLOOKUP(B702,גיליון1!A638:B1608,2,0),0)</f>
        <v>50630</v>
      </c>
      <c r="N702" s="108"/>
    </row>
    <row r="703" spans="1:14" ht="15.75">
      <c r="A703">
        <v>699</v>
      </c>
      <c r="B703" s="119">
        <v>580565406</v>
      </c>
      <c r="C703" s="119" t="s">
        <v>1089</v>
      </c>
      <c r="D703" s="13"/>
      <c r="E703" s="116">
        <v>127794</v>
      </c>
      <c r="F703" s="116">
        <v>53357</v>
      </c>
      <c r="G703" s="117"/>
      <c r="H703" s="118">
        <v>106713</v>
      </c>
      <c r="I703" s="15"/>
      <c r="J703" s="15"/>
      <c r="K703" s="110"/>
      <c r="L703" s="79"/>
      <c r="M703" s="86"/>
      <c r="N703" s="108"/>
    </row>
    <row r="704" spans="1:14" ht="15.75">
      <c r="A704" s="3">
        <v>700</v>
      </c>
      <c r="B704" s="12">
        <v>580566057</v>
      </c>
      <c r="C704" s="13" t="s">
        <v>233</v>
      </c>
      <c r="D704" s="13" t="s">
        <v>56</v>
      </c>
      <c r="E704" s="6">
        <v>106949.5</v>
      </c>
      <c r="F704" s="6">
        <v>74865</v>
      </c>
      <c r="G704" s="7">
        <f>F704/E704</f>
        <v>0.7000032725725693</v>
      </c>
      <c r="H704" s="14">
        <v>174218</v>
      </c>
      <c r="I704" s="15">
        <f>E704*$I$2</f>
        <v>74864.65</v>
      </c>
      <c r="J704" s="15">
        <f>H704*$J$2</f>
        <v>139374.4</v>
      </c>
      <c r="K704" s="85">
        <f>ROUND(IF(IF(MIN(I704,J704)&lt;F704,MIN(I704,J704)-F704,MIN(I704,J704))&lt;0,0,IF(MIN(I704,J704)&lt;F704,MIN(I704,J704)-F704,MIN(I704,J704))),0)</f>
        <v>0</v>
      </c>
      <c r="L704" s="79">
        <v>74864.65</v>
      </c>
      <c r="M704" s="86">
        <f>ROUND(VLOOKUP(B704,גיליון1!A639:B1609,2,0),0)</f>
        <v>174220</v>
      </c>
      <c r="N704" s="108"/>
    </row>
    <row r="705" spans="1:14" ht="15.75">
      <c r="A705">
        <v>701</v>
      </c>
      <c r="B705" s="60">
        <v>580566164</v>
      </c>
      <c r="C705" s="13" t="s">
        <v>1105</v>
      </c>
      <c r="D705" s="13"/>
      <c r="E705" s="116"/>
      <c r="F705" s="116"/>
      <c r="G705" s="117"/>
      <c r="H705" s="118">
        <v>32368</v>
      </c>
      <c r="I705" s="15"/>
      <c r="J705" s="15"/>
      <c r="K705" s="110"/>
      <c r="L705" s="79"/>
      <c r="M705" s="86"/>
      <c r="N705" s="108"/>
    </row>
    <row r="706" spans="1:14" ht="15.75">
      <c r="A706" s="3">
        <v>702</v>
      </c>
      <c r="B706" s="12">
        <v>580566743</v>
      </c>
      <c r="C706" s="13" t="s">
        <v>707</v>
      </c>
      <c r="D706" s="13" t="s">
        <v>56</v>
      </c>
      <c r="E706" s="6">
        <v>113725.5</v>
      </c>
      <c r="F706" s="6">
        <v>63403</v>
      </c>
      <c r="G706" s="7">
        <f>F706/E706</f>
        <v>0.557509089869906</v>
      </c>
      <c r="H706" s="14">
        <v>79254</v>
      </c>
      <c r="I706" s="15">
        <f>E706*$I$2</f>
        <v>79607.84999999999</v>
      </c>
      <c r="J706" s="15">
        <f>H706*$J$2</f>
        <v>63403.200000000004</v>
      </c>
      <c r="K706" s="85">
        <f>ROUND(IF(IF(MIN(I706,J706)&lt;F706,MIN(I706,J706)-F706,MIN(I706,J706))&lt;0,0,IF(MIN(I706,J706)&lt;F706,MIN(I706,J706)-F706,MIN(I706,J706))),0)</f>
        <v>63403</v>
      </c>
      <c r="L706" s="79">
        <v>63403.200000000004</v>
      </c>
      <c r="M706" s="86">
        <f>ROUND(VLOOKUP(B706,גיליון1!A640:B1610,2,0),0)</f>
        <v>79254</v>
      </c>
      <c r="N706" s="108"/>
    </row>
    <row r="707" spans="1:14" ht="15.75">
      <c r="A707">
        <v>703</v>
      </c>
      <c r="B707" s="12">
        <v>580566776</v>
      </c>
      <c r="C707" s="13" t="s">
        <v>708</v>
      </c>
      <c r="D707" s="17" t="s">
        <v>59</v>
      </c>
      <c r="E707" s="6">
        <v>77650</v>
      </c>
      <c r="F707" s="6">
        <v>38825</v>
      </c>
      <c r="G707" s="7">
        <f>F707/E707</f>
        <v>0.5</v>
      </c>
      <c r="H707" s="14">
        <v>59910</v>
      </c>
      <c r="I707" s="15">
        <f>E707*$I$2</f>
        <v>54355</v>
      </c>
      <c r="J707" s="15">
        <f>H707*$J$2</f>
        <v>47928</v>
      </c>
      <c r="K707" s="85">
        <f>ROUND(IF(IF(MIN(I707,J707)&lt;F707,MIN(I707,J707)-F707,MIN(I707,J707))&lt;0,0,IF(MIN(I707,J707)&lt;F707,MIN(I707,J707)-F707,MIN(I707,J707))),0)</f>
        <v>47928</v>
      </c>
      <c r="L707" s="79">
        <v>38825</v>
      </c>
      <c r="M707" s="86">
        <f>ROUND(VLOOKUP(B707,גיליון1!A641:B1611,2,0),0)</f>
        <v>59911</v>
      </c>
      <c r="N707" s="108"/>
    </row>
    <row r="708" spans="1:14" ht="15.75">
      <c r="A708" s="3">
        <v>704</v>
      </c>
      <c r="B708" s="12">
        <v>580567972</v>
      </c>
      <c r="C708" s="12" t="s">
        <v>648</v>
      </c>
      <c r="D708" s="13" t="s">
        <v>70</v>
      </c>
      <c r="E708" s="6">
        <v>87211.5</v>
      </c>
      <c r="F708" s="6">
        <v>43606</v>
      </c>
      <c r="G708" s="7">
        <f>F708/E708</f>
        <v>0.5000028665944285</v>
      </c>
      <c r="H708" s="14">
        <v>87975</v>
      </c>
      <c r="I708" s="15">
        <f>E708*$I$2</f>
        <v>61048.049999999996</v>
      </c>
      <c r="J708" s="15">
        <f>H708*$J$2</f>
        <v>70380</v>
      </c>
      <c r="K708" s="85">
        <f>ROUND(IF(IF(MIN(I708,J708)&lt;F708,MIN(I708,J708)-F708,MIN(I708,J708))&lt;0,0,IF(MIN(I708,J708)&lt;F708,MIN(I708,J708)-F708,MIN(I708,J708))),0)</f>
        <v>61048</v>
      </c>
      <c r="L708" s="79">
        <v>43605.75</v>
      </c>
      <c r="M708" s="86">
        <f>ROUND(VLOOKUP(B708,גיליון1!A642:B1612,2,0),0)</f>
        <v>87973</v>
      </c>
      <c r="N708" s="108"/>
    </row>
    <row r="709" spans="1:14" ht="15.75">
      <c r="A709">
        <v>705</v>
      </c>
      <c r="B709" s="18">
        <v>580568681</v>
      </c>
      <c r="C709" s="18" t="s">
        <v>1106</v>
      </c>
      <c r="D709" s="13"/>
      <c r="E709" s="116"/>
      <c r="F709" s="116"/>
      <c r="G709" s="117"/>
      <c r="H709" s="118">
        <v>47300</v>
      </c>
      <c r="I709" s="15"/>
      <c r="J709" s="15"/>
      <c r="K709" s="110"/>
      <c r="L709" s="79"/>
      <c r="M709" s="86"/>
      <c r="N709" s="108"/>
    </row>
    <row r="710" spans="1:14" ht="15">
      <c r="A710" s="3">
        <v>706</v>
      </c>
      <c r="B710" s="18">
        <v>580575827</v>
      </c>
      <c r="C710" s="4" t="s">
        <v>234</v>
      </c>
      <c r="D710" s="4" t="s">
        <v>68</v>
      </c>
      <c r="E710" s="6">
        <v>30899.25</v>
      </c>
      <c r="F710" s="6">
        <v>21629</v>
      </c>
      <c r="G710" s="7">
        <f>F710/E710</f>
        <v>0.6999846274585952</v>
      </c>
      <c r="H710" s="14">
        <v>61548</v>
      </c>
      <c r="I710" s="15">
        <f>E710*$I$2</f>
        <v>21629.475</v>
      </c>
      <c r="J710" s="15">
        <f>H710*$J$2</f>
        <v>49238.4</v>
      </c>
      <c r="K710" s="85">
        <f>ROUND(IF(IF(MIN(I710,J710)&lt;F710,MIN(I710,J710)-F710,MIN(I710,J710))&lt;0,0,IF(MIN(I710,J710)&lt;F710,MIN(I710,J710)-F710,MIN(I710,J710))),0)</f>
        <v>21629</v>
      </c>
      <c r="L710" s="79">
        <v>21629.475</v>
      </c>
      <c r="M710" s="86">
        <f>ROUND(VLOOKUP(B710,גיליון1!A643:B1613,2,0),0)</f>
        <v>61548</v>
      </c>
      <c r="N710" s="108"/>
    </row>
    <row r="711" spans="1:14" ht="15.75">
      <c r="A711">
        <v>707</v>
      </c>
      <c r="B711" s="12">
        <v>580576247</v>
      </c>
      <c r="C711" s="13" t="s">
        <v>1107</v>
      </c>
      <c r="D711" s="13"/>
      <c r="E711" s="116"/>
      <c r="F711" s="116"/>
      <c r="G711" s="117"/>
      <c r="H711" s="118">
        <v>54788</v>
      </c>
      <c r="I711" s="15"/>
      <c r="J711" s="15"/>
      <c r="K711" s="110"/>
      <c r="L711" s="79"/>
      <c r="M711" s="86"/>
      <c r="N711" s="108"/>
    </row>
    <row r="712" spans="1:14" ht="15">
      <c r="A712" s="3">
        <v>708</v>
      </c>
      <c r="B712" s="18">
        <v>580576346</v>
      </c>
      <c r="C712" s="18" t="s">
        <v>235</v>
      </c>
      <c r="D712" s="4" t="s">
        <v>64</v>
      </c>
      <c r="E712" s="6">
        <v>12032.75</v>
      </c>
      <c r="F712" s="6">
        <v>8423</v>
      </c>
      <c r="G712" s="7">
        <f>F712/E712</f>
        <v>0.7000062329891338</v>
      </c>
      <c r="H712" s="14">
        <v>50822</v>
      </c>
      <c r="I712" s="15">
        <f>E712*$I$2</f>
        <v>8422.925</v>
      </c>
      <c r="J712" s="15">
        <f>H712*$J$2</f>
        <v>40657.600000000006</v>
      </c>
      <c r="K712" s="85">
        <f>ROUND(IF(IF(MIN(I712,J712)&lt;F712,MIN(I712,J712)-F712,MIN(I712,J712))&lt;0,0,IF(MIN(I712,J712)&lt;F712,MIN(I712,J712)-F712,MIN(I712,J712))),0)</f>
        <v>0</v>
      </c>
      <c r="L712" s="79">
        <v>8422.925</v>
      </c>
      <c r="M712" s="86">
        <f>ROUND(VLOOKUP(B712,גיליון1!A644:B1614,2,0),0)</f>
        <v>50822</v>
      </c>
      <c r="N712" s="108"/>
    </row>
    <row r="713" spans="1:14" ht="15.75">
      <c r="A713">
        <v>709</v>
      </c>
      <c r="B713" s="13">
        <v>580576866</v>
      </c>
      <c r="C713" s="13" t="s">
        <v>236</v>
      </c>
      <c r="D713" s="13" t="s">
        <v>59</v>
      </c>
      <c r="E713" s="6">
        <f>243066.25+268388</f>
        <v>511454.25</v>
      </c>
      <c r="F713" s="6">
        <v>121533</v>
      </c>
      <c r="G713" s="7">
        <f>F713/E713</f>
        <v>0.23762242663933283</v>
      </c>
      <c r="H713" s="14">
        <f>144195+217856</f>
        <v>362051</v>
      </c>
      <c r="I713" s="15">
        <f>E713*$I$2</f>
        <v>358017.975</v>
      </c>
      <c r="J713" s="15">
        <f>H713*$J$2</f>
        <v>289640.8</v>
      </c>
      <c r="K713" s="85">
        <f>ROUND(IF(IF(MIN(I713,J713)&lt;F713,MIN(I713,J713)-F713,MIN(I713,J713))&lt;0,0,IF(MIN(I713,J713)&lt;F713,MIN(I713,J713)-F713,MIN(I713,J713))),0)</f>
        <v>289641</v>
      </c>
      <c r="L713" s="79">
        <v>121533.125</v>
      </c>
      <c r="M713" s="86">
        <f>ROUND(VLOOKUP(B713,גיליון1!A645:B1615,2,0),0)</f>
        <v>144194</v>
      </c>
      <c r="N713" s="108"/>
    </row>
    <row r="714" spans="1:14" ht="15.75">
      <c r="A714" s="3">
        <v>710</v>
      </c>
      <c r="B714" s="22">
        <v>580577849</v>
      </c>
      <c r="C714" s="43" t="s">
        <v>304</v>
      </c>
      <c r="D714" s="13" t="s">
        <v>56</v>
      </c>
      <c r="E714" s="6">
        <v>52295</v>
      </c>
      <c r="F714" s="6">
        <v>36607</v>
      </c>
      <c r="G714" s="7">
        <f>F714/E714</f>
        <v>0.7000095611435128</v>
      </c>
      <c r="H714" s="14">
        <v>58437</v>
      </c>
      <c r="I714" s="15">
        <f>E714*$I$2</f>
        <v>36606.5</v>
      </c>
      <c r="J714" s="15">
        <f>H714*$J$2</f>
        <v>46749.600000000006</v>
      </c>
      <c r="K714" s="85">
        <f>ROUND(IF(IF(MIN(I714,J714)&lt;F714,MIN(I714,J714)-F714,MIN(I714,J714))&lt;0,0,IF(MIN(I714,J714)&lt;F714,MIN(I714,J714)-F714,MIN(I714,J714))),0)</f>
        <v>0</v>
      </c>
      <c r="L714" s="79">
        <v>36606.5</v>
      </c>
      <c r="M714" s="86">
        <f>ROUND(VLOOKUP(B714,גיליון1!A646:B1616,2,0),0)</f>
        <v>58438</v>
      </c>
      <c r="N714" s="108"/>
    </row>
    <row r="715" spans="1:14" ht="15.75">
      <c r="A715">
        <v>711</v>
      </c>
      <c r="B715" s="12">
        <v>580578250</v>
      </c>
      <c r="C715" s="13" t="s">
        <v>237</v>
      </c>
      <c r="D715" s="17" t="s">
        <v>59</v>
      </c>
      <c r="E715" s="6">
        <v>534094.75</v>
      </c>
      <c r="F715" s="6">
        <v>373866</v>
      </c>
      <c r="G715" s="7">
        <f>F715/E715</f>
        <v>0.6999993914937378</v>
      </c>
      <c r="H715" s="14">
        <v>554797</v>
      </c>
      <c r="I715" s="15">
        <f>E715*$I$2</f>
        <v>373866.32499999995</v>
      </c>
      <c r="J715" s="15">
        <f>H715*$J$2</f>
        <v>443837.60000000003</v>
      </c>
      <c r="K715" s="85">
        <f>ROUND(IF(IF(MIN(I715,J715)&lt;F715,MIN(I715,J715)-F715,MIN(I715,J715))&lt;0,0,IF(MIN(I715,J715)&lt;F715,MIN(I715,J715)-F715,MIN(I715,J715))),0)</f>
        <v>373866</v>
      </c>
      <c r="L715" s="79">
        <v>373866.32499999995</v>
      </c>
      <c r="M715" s="86">
        <f>ROUND(VLOOKUP(B715,גיליון1!A647:B1617,2,0),0)</f>
        <v>554805</v>
      </c>
      <c r="N715" s="108"/>
    </row>
    <row r="716" spans="1:14" ht="15.75">
      <c r="A716" s="3">
        <v>712</v>
      </c>
      <c r="B716" s="18">
        <v>580578623</v>
      </c>
      <c r="C716" s="18" t="s">
        <v>1007</v>
      </c>
      <c r="D716" s="13"/>
      <c r="E716" s="116"/>
      <c r="F716" s="116"/>
      <c r="G716" s="117"/>
      <c r="H716" s="118">
        <v>63368</v>
      </c>
      <c r="I716" s="15"/>
      <c r="J716" s="15"/>
      <c r="K716" s="110"/>
      <c r="L716" s="79"/>
      <c r="M716" s="86"/>
      <c r="N716" s="108"/>
    </row>
    <row r="717" spans="1:14" ht="15">
      <c r="A717">
        <v>713</v>
      </c>
      <c r="B717" s="22">
        <v>580579068</v>
      </c>
      <c r="C717" s="43" t="s">
        <v>760</v>
      </c>
      <c r="D717" s="17" t="s">
        <v>59</v>
      </c>
      <c r="E717" s="6">
        <v>22073.25</v>
      </c>
      <c r="F717" s="6">
        <v>11037</v>
      </c>
      <c r="G717" s="7">
        <f>F717/E717</f>
        <v>0.5000169888892664</v>
      </c>
      <c r="H717" s="14">
        <v>23242</v>
      </c>
      <c r="I717" s="15">
        <f>E717*$I$2</f>
        <v>15451.275</v>
      </c>
      <c r="J717" s="15">
        <f>H717*$J$2</f>
        <v>18593.600000000002</v>
      </c>
      <c r="K717" s="85">
        <f>ROUND(IF(IF(MIN(I717,J717)&lt;F717,MIN(I717,J717)-F717,MIN(I717,J717))&lt;0,0,IF(MIN(I717,J717)&lt;F717,MIN(I717,J717)-F717,MIN(I717,J717))),0)</f>
        <v>15451</v>
      </c>
      <c r="L717" s="79">
        <v>11036.625</v>
      </c>
      <c r="M717" s="86">
        <f>ROUND(VLOOKUP(B717,גיליון1!A648:B1618,2,0),0)</f>
        <v>23242</v>
      </c>
      <c r="N717" s="108"/>
    </row>
    <row r="718" spans="1:14" ht="15.75">
      <c r="A718" s="3">
        <v>714</v>
      </c>
      <c r="B718" s="18">
        <v>580580181</v>
      </c>
      <c r="C718" s="18" t="s">
        <v>1008</v>
      </c>
      <c r="D718" s="13"/>
      <c r="E718" s="116"/>
      <c r="F718" s="116"/>
      <c r="G718" s="117"/>
      <c r="H718" s="118">
        <v>2738</v>
      </c>
      <c r="I718" s="15"/>
      <c r="J718" s="15"/>
      <c r="K718" s="110"/>
      <c r="L718" s="79"/>
      <c r="M718" s="86"/>
      <c r="N718" s="108"/>
    </row>
    <row r="719" spans="1:14" ht="15.75">
      <c r="A719">
        <v>715</v>
      </c>
      <c r="B719" s="18">
        <v>580580561</v>
      </c>
      <c r="C719" s="18" t="s">
        <v>1108</v>
      </c>
      <c r="D719" s="13"/>
      <c r="E719" s="116"/>
      <c r="F719" s="116"/>
      <c r="G719" s="117"/>
      <c r="H719" s="118">
        <v>56909</v>
      </c>
      <c r="I719" s="15"/>
      <c r="J719" s="15"/>
      <c r="K719" s="110"/>
      <c r="L719" s="79"/>
      <c r="M719" s="86"/>
      <c r="N719" s="108"/>
    </row>
    <row r="720" spans="1:14" ht="15.75">
      <c r="A720" s="3">
        <v>716</v>
      </c>
      <c r="B720" s="12">
        <v>580581098</v>
      </c>
      <c r="C720" s="13" t="s">
        <v>709</v>
      </c>
      <c r="D720" s="13" t="s">
        <v>56</v>
      </c>
      <c r="E720" s="6">
        <v>121091</v>
      </c>
      <c r="F720" s="6">
        <v>84764</v>
      </c>
      <c r="G720" s="7">
        <f aca="true" t="shared" si="146" ref="G720:G725">F720/E720</f>
        <v>0.7000024774756175</v>
      </c>
      <c r="H720" s="14">
        <v>134591</v>
      </c>
      <c r="I720" s="15">
        <f aca="true" t="shared" si="147" ref="I720:I725">E720*$I$2</f>
        <v>84763.7</v>
      </c>
      <c r="J720" s="15">
        <f aca="true" t="shared" si="148" ref="J720:J725">H720*$J$2</f>
        <v>107672.8</v>
      </c>
      <c r="K720" s="85">
        <f aca="true" t="shared" si="149" ref="K720:K725">ROUND(IF(IF(MIN(I720,J720)&lt;F720,MIN(I720,J720)-F720,MIN(I720,J720))&lt;0,0,IF(MIN(I720,J720)&lt;F720,MIN(I720,J720)-F720,MIN(I720,J720))),0)</f>
        <v>0</v>
      </c>
      <c r="L720" s="79">
        <v>84763.7</v>
      </c>
      <c r="M720" s="86">
        <f>ROUND(VLOOKUP(B720,גיליון1!A650:B1620,2,0),0)</f>
        <v>134593</v>
      </c>
      <c r="N720" s="108"/>
    </row>
    <row r="721" spans="1:14" ht="15">
      <c r="A721">
        <v>717</v>
      </c>
      <c r="B721" s="18">
        <v>580582351</v>
      </c>
      <c r="C721" s="18" t="s">
        <v>578</v>
      </c>
      <c r="D721" s="4" t="s">
        <v>64</v>
      </c>
      <c r="E721" s="6">
        <v>20034.620609784673</v>
      </c>
      <c r="F721" s="6">
        <v>14024</v>
      </c>
      <c r="G721" s="7">
        <f t="shared" si="146"/>
        <v>0.6999882989124757</v>
      </c>
      <c r="H721" s="14">
        <v>47482</v>
      </c>
      <c r="I721" s="15">
        <f t="shared" si="147"/>
        <v>14024.23442684927</v>
      </c>
      <c r="J721" s="15">
        <f t="shared" si="148"/>
        <v>37985.6</v>
      </c>
      <c r="K721" s="85">
        <f t="shared" si="149"/>
        <v>14024</v>
      </c>
      <c r="L721" s="79">
        <v>14024.23442684927</v>
      </c>
      <c r="M721" s="86">
        <f>ROUND(VLOOKUP(B721,גיליון1!A651:B1621,2,0),0)</f>
        <v>47483</v>
      </c>
      <c r="N721" s="108"/>
    </row>
    <row r="722" spans="1:14" ht="15.75">
      <c r="A722" s="3">
        <v>718</v>
      </c>
      <c r="B722" s="12">
        <v>580582856</v>
      </c>
      <c r="C722" s="13" t="s">
        <v>306</v>
      </c>
      <c r="D722" s="13" t="s">
        <v>56</v>
      </c>
      <c r="E722" s="6">
        <v>90155.75</v>
      </c>
      <c r="F722" s="6">
        <v>63109.024999999994</v>
      </c>
      <c r="G722" s="7">
        <f t="shared" si="146"/>
        <v>0.7</v>
      </c>
      <c r="H722" s="14">
        <v>163394</v>
      </c>
      <c r="I722" s="15">
        <f t="shared" si="147"/>
        <v>63109.024999999994</v>
      </c>
      <c r="J722" s="15">
        <f t="shared" si="148"/>
        <v>130715.20000000001</v>
      </c>
      <c r="K722" s="85">
        <f t="shared" si="149"/>
        <v>63109</v>
      </c>
      <c r="L722" s="79">
        <v>63109.024999999994</v>
      </c>
      <c r="M722" s="86">
        <f>ROUND(VLOOKUP(B722,גיליון1!A652:B1622,2,0),0)</f>
        <v>163397</v>
      </c>
      <c r="N722" s="108"/>
    </row>
    <row r="723" spans="1:14" ht="15.75">
      <c r="A723">
        <v>719</v>
      </c>
      <c r="B723" s="12">
        <v>580584175</v>
      </c>
      <c r="C723" s="13" t="s">
        <v>307</v>
      </c>
      <c r="D723" s="13" t="s">
        <v>56</v>
      </c>
      <c r="E723" s="6">
        <v>5928.25</v>
      </c>
      <c r="F723" s="6">
        <v>2964</v>
      </c>
      <c r="G723" s="7">
        <f t="shared" si="146"/>
        <v>0.4999789145194619</v>
      </c>
      <c r="H723" s="14">
        <v>4494</v>
      </c>
      <c r="I723" s="15">
        <f t="shared" si="147"/>
        <v>4149.775</v>
      </c>
      <c r="J723" s="15">
        <f t="shared" si="148"/>
        <v>3595.2000000000003</v>
      </c>
      <c r="K723" s="85">
        <f t="shared" si="149"/>
        <v>3595</v>
      </c>
      <c r="L723" s="79">
        <v>2964.125</v>
      </c>
      <c r="M723" s="86">
        <f>ROUND(VLOOKUP(B723,גיליון1!A653:B1623,2,0),0)</f>
        <v>4494</v>
      </c>
      <c r="N723" s="108"/>
    </row>
    <row r="724" spans="1:14" ht="15.75">
      <c r="A724" s="3">
        <v>720</v>
      </c>
      <c r="B724" s="12">
        <v>580584183</v>
      </c>
      <c r="C724" s="13" t="s">
        <v>710</v>
      </c>
      <c r="D724" s="13" t="s">
        <v>56</v>
      </c>
      <c r="E724" s="6">
        <v>16346</v>
      </c>
      <c r="F724" s="6">
        <v>8173</v>
      </c>
      <c r="G724" s="7">
        <f t="shared" si="146"/>
        <v>0.5</v>
      </c>
      <c r="H724" s="14">
        <v>18302</v>
      </c>
      <c r="I724" s="15">
        <f t="shared" si="147"/>
        <v>11442.199999999999</v>
      </c>
      <c r="J724" s="15">
        <f t="shared" si="148"/>
        <v>14641.6</v>
      </c>
      <c r="K724" s="85">
        <f t="shared" si="149"/>
        <v>11442</v>
      </c>
      <c r="L724" s="79">
        <v>8173.000000000001</v>
      </c>
      <c r="M724" s="86">
        <f>ROUND(VLOOKUP(B724,גיליון1!A654:B1624,2,0),0)</f>
        <v>18302</v>
      </c>
      <c r="N724" s="108"/>
    </row>
    <row r="725" spans="1:14" ht="15.75">
      <c r="A725">
        <v>721</v>
      </c>
      <c r="B725" s="12">
        <v>580584191</v>
      </c>
      <c r="C725" s="13" t="s">
        <v>545</v>
      </c>
      <c r="D725" s="13" t="s">
        <v>56</v>
      </c>
      <c r="E725" s="6">
        <v>9399.75</v>
      </c>
      <c r="F725" s="6">
        <v>3760</v>
      </c>
      <c r="G725" s="7">
        <f t="shared" si="146"/>
        <v>0.4000106385808133</v>
      </c>
      <c r="H725" s="14">
        <v>4650</v>
      </c>
      <c r="I725" s="15">
        <f t="shared" si="147"/>
        <v>6579.825</v>
      </c>
      <c r="J725" s="15">
        <f t="shared" si="148"/>
        <v>3720</v>
      </c>
      <c r="K725" s="85">
        <f t="shared" si="149"/>
        <v>0</v>
      </c>
      <c r="L725" s="79">
        <v>3759.8999999999996</v>
      </c>
      <c r="M725" s="86">
        <f>ROUND(VLOOKUP(B725,גיליון1!A655:B1625,2,0),0)</f>
        <v>4650</v>
      </c>
      <c r="N725" s="108"/>
    </row>
    <row r="726" spans="1:14" ht="15.75">
      <c r="A726" s="3">
        <v>722</v>
      </c>
      <c r="B726" s="39">
        <v>580584597</v>
      </c>
      <c r="C726" s="13" t="s">
        <v>1109</v>
      </c>
      <c r="D726" s="13"/>
      <c r="E726" s="116"/>
      <c r="F726" s="116"/>
      <c r="G726" s="117"/>
      <c r="H726" s="118">
        <v>33194</v>
      </c>
      <c r="I726" s="15"/>
      <c r="J726" s="15"/>
      <c r="K726" s="110"/>
      <c r="L726" s="79"/>
      <c r="M726" s="86"/>
      <c r="N726" s="108"/>
    </row>
    <row r="727" spans="1:14" ht="15.75">
      <c r="A727">
        <v>723</v>
      </c>
      <c r="B727" s="18">
        <v>580585016</v>
      </c>
      <c r="C727" s="18" t="s">
        <v>1011</v>
      </c>
      <c r="D727" s="13"/>
      <c r="E727" s="116"/>
      <c r="F727" s="116"/>
      <c r="G727" s="117"/>
      <c r="H727" s="118">
        <v>15344</v>
      </c>
      <c r="I727" s="15"/>
      <c r="J727" s="15"/>
      <c r="K727" s="110"/>
      <c r="L727" s="79"/>
      <c r="M727" s="86"/>
      <c r="N727" s="108"/>
    </row>
    <row r="728" spans="1:14" ht="15.75">
      <c r="A728" s="3">
        <v>724</v>
      </c>
      <c r="B728" s="12">
        <v>580585289</v>
      </c>
      <c r="C728" s="18" t="s">
        <v>476</v>
      </c>
      <c r="D728" s="4" t="s">
        <v>64</v>
      </c>
      <c r="E728" s="6">
        <v>37616</v>
      </c>
      <c r="F728" s="6">
        <v>18808</v>
      </c>
      <c r="G728" s="7">
        <f>F728/E728</f>
        <v>0.5</v>
      </c>
      <c r="H728" s="14">
        <v>23549</v>
      </c>
      <c r="I728" s="15">
        <f>E728*$I$2</f>
        <v>26331.199999999997</v>
      </c>
      <c r="J728" s="15">
        <f>H728*$J$2</f>
        <v>18839.2</v>
      </c>
      <c r="K728" s="85">
        <f>ROUND(IF(IF(MIN(I728,J728)&lt;F728,MIN(I728,J728)-F728,MIN(I728,J728))&lt;0,0,IF(MIN(I728,J728)&lt;F728,MIN(I728,J728)-F728,MIN(I728,J728))),0)</f>
        <v>18839</v>
      </c>
      <c r="L728" s="79">
        <v>18808</v>
      </c>
      <c r="M728" s="86">
        <f>ROUND(VLOOKUP(B728,גיליון1!A656:B1626,2,0),0)</f>
        <v>23549</v>
      </c>
      <c r="N728" s="108"/>
    </row>
    <row r="729" spans="1:14" ht="15.75">
      <c r="A729">
        <v>725</v>
      </c>
      <c r="B729" s="12">
        <v>580585297</v>
      </c>
      <c r="C729" s="4" t="s">
        <v>477</v>
      </c>
      <c r="D729" s="4" t="s">
        <v>68</v>
      </c>
      <c r="E729" s="6">
        <v>52649</v>
      </c>
      <c r="F729" s="6">
        <v>21060</v>
      </c>
      <c r="G729" s="7">
        <f>F729/E729</f>
        <v>0.4000075974852324</v>
      </c>
      <c r="H729" s="14">
        <v>32377</v>
      </c>
      <c r="I729" s="15">
        <f>E729*$I$2</f>
        <v>36854.299999999996</v>
      </c>
      <c r="J729" s="15">
        <f>H729*$J$2</f>
        <v>25901.600000000002</v>
      </c>
      <c r="K729" s="85">
        <f>ROUND(IF(IF(MIN(I729,J729)&lt;F729,MIN(I729,J729)-F729,MIN(I729,J729))&lt;0,0,IF(MIN(I729,J729)&lt;F729,MIN(I729,J729)-F729,MIN(I729,J729))),0)</f>
        <v>25902</v>
      </c>
      <c r="L729" s="79">
        <v>21059.6</v>
      </c>
      <c r="M729" s="86">
        <f>ROUND(VLOOKUP(B729,גיליון1!A657:B1627,2,0),0)</f>
        <v>32377</v>
      </c>
      <c r="N729" s="108"/>
    </row>
    <row r="730" spans="1:14" ht="15.75">
      <c r="A730" s="3">
        <v>726</v>
      </c>
      <c r="B730" s="12">
        <v>580585990</v>
      </c>
      <c r="C730" s="13" t="s">
        <v>238</v>
      </c>
      <c r="D730" s="13" t="s">
        <v>56</v>
      </c>
      <c r="E730" s="6">
        <v>132069.5</v>
      </c>
      <c r="F730" s="6">
        <v>92449</v>
      </c>
      <c r="G730" s="7">
        <f>F730/E730</f>
        <v>0.7000026501198233</v>
      </c>
      <c r="H730" s="14">
        <v>255499</v>
      </c>
      <c r="I730" s="15">
        <f>E730*$I$2</f>
        <v>92448.65</v>
      </c>
      <c r="J730" s="15">
        <f>H730*$J$2</f>
        <v>204399.2</v>
      </c>
      <c r="K730" s="85">
        <f>ROUND(IF(IF(MIN(I730,J730)&lt;F730,MIN(I730,J730)-F730,MIN(I730,J730))&lt;0,0,IF(MIN(I730,J730)&lt;F730,MIN(I730,J730)-F730,MIN(I730,J730))),0)</f>
        <v>0</v>
      </c>
      <c r="L730" s="79">
        <v>92448.65</v>
      </c>
      <c r="M730" s="86">
        <f>ROUND(VLOOKUP(B730,גיליון1!A658:B1628,2,0),0)</f>
        <v>255499</v>
      </c>
      <c r="N730" s="108"/>
    </row>
    <row r="731" spans="1:14" ht="15.75">
      <c r="A731">
        <v>727</v>
      </c>
      <c r="B731" s="18">
        <v>580587459</v>
      </c>
      <c r="C731" s="18" t="s">
        <v>1110</v>
      </c>
      <c r="D731" s="13"/>
      <c r="E731" s="116"/>
      <c r="F731" s="116"/>
      <c r="G731" s="117"/>
      <c r="H731" s="118">
        <v>42382</v>
      </c>
      <c r="I731" s="15"/>
      <c r="J731" s="15"/>
      <c r="K731" s="110"/>
      <c r="L731" s="79"/>
      <c r="M731" s="86"/>
      <c r="N731" s="108"/>
    </row>
    <row r="732" spans="1:14" ht="15.75">
      <c r="A732" s="3">
        <v>728</v>
      </c>
      <c r="B732" s="13">
        <v>580587723</v>
      </c>
      <c r="C732" s="13" t="s">
        <v>546</v>
      </c>
      <c r="D732" s="13" t="s">
        <v>64</v>
      </c>
      <c r="E732" s="6">
        <v>3099.75</v>
      </c>
      <c r="F732" s="6">
        <v>1240</v>
      </c>
      <c r="G732" s="7">
        <f>F732/E732</f>
        <v>0.40003226066618275</v>
      </c>
      <c r="H732" s="14">
        <v>90003</v>
      </c>
      <c r="I732" s="15">
        <f>E732*$I$2</f>
        <v>2169.825</v>
      </c>
      <c r="J732" s="15">
        <f>H732*$J$2</f>
        <v>72002.40000000001</v>
      </c>
      <c r="K732" s="85">
        <f>ROUND(IF(IF(MIN(I732,J732)&lt;F732,MIN(I732,J732)-F732,MIN(I732,J732))&lt;0,0,IF(MIN(I732,J732)&lt;F732,MIN(I732,J732)-F732,MIN(I732,J732))),0)</f>
        <v>2170</v>
      </c>
      <c r="L732" s="79">
        <v>1239.9</v>
      </c>
      <c r="M732" s="86">
        <f>ROUND(VLOOKUP(B732,גיליון1!A659:B1629,2,0),0)</f>
        <v>90001</v>
      </c>
      <c r="N732" s="108"/>
    </row>
    <row r="733" spans="1:14" ht="15.75">
      <c r="A733">
        <v>729</v>
      </c>
      <c r="B733" s="18">
        <v>580588325</v>
      </c>
      <c r="C733" s="18" t="s">
        <v>1013</v>
      </c>
      <c r="D733" s="13"/>
      <c r="E733" s="116"/>
      <c r="F733" s="116"/>
      <c r="G733" s="117"/>
      <c r="H733" s="118">
        <v>23741</v>
      </c>
      <c r="I733" s="15"/>
      <c r="J733" s="15"/>
      <c r="K733" s="110"/>
      <c r="L733" s="79"/>
      <c r="M733" s="86"/>
      <c r="N733" s="108"/>
    </row>
    <row r="734" spans="1:14" ht="15.75">
      <c r="A734" s="3">
        <v>730</v>
      </c>
      <c r="B734" s="12">
        <v>580589059</v>
      </c>
      <c r="C734" s="13" t="s">
        <v>239</v>
      </c>
      <c r="D734" s="17" t="s">
        <v>59</v>
      </c>
      <c r="E734" s="6">
        <v>152173.75</v>
      </c>
      <c r="F734" s="6">
        <v>106522</v>
      </c>
      <c r="G734" s="7">
        <f aca="true" t="shared" si="150" ref="G734:G739">F734/E734</f>
        <v>0.7000024642883546</v>
      </c>
      <c r="H734" s="14">
        <v>185215</v>
      </c>
      <c r="I734" s="15">
        <f aca="true" t="shared" si="151" ref="I734:I739">E734*$I$2</f>
        <v>106521.625</v>
      </c>
      <c r="J734" s="15">
        <f aca="true" t="shared" si="152" ref="J734:J739">H734*$J$2</f>
        <v>148172</v>
      </c>
      <c r="K734" s="85">
        <f aca="true" t="shared" si="153" ref="K734:K739">ROUND(IF(IF(MIN(I734,J734)&lt;F734,MIN(I734,J734)-F734,MIN(I734,J734))&lt;0,0,IF(MIN(I734,J734)&lt;F734,MIN(I734,J734)-F734,MIN(I734,J734))),0)</f>
        <v>0</v>
      </c>
      <c r="L734" s="79">
        <v>106521.625</v>
      </c>
      <c r="M734" s="86">
        <f>ROUND(VLOOKUP(B734,גיליון1!A660:B1630,2,0),0)</f>
        <v>185218</v>
      </c>
      <c r="N734" s="108"/>
    </row>
    <row r="735" spans="1:14" ht="15.75">
      <c r="A735">
        <v>731</v>
      </c>
      <c r="B735" s="12">
        <v>580589851</v>
      </c>
      <c r="C735" s="13" t="s">
        <v>308</v>
      </c>
      <c r="D735" s="13" t="s">
        <v>56</v>
      </c>
      <c r="E735" s="6">
        <v>50823</v>
      </c>
      <c r="F735" s="6">
        <v>35576</v>
      </c>
      <c r="G735" s="7">
        <f t="shared" si="150"/>
        <v>0.6999980323869114</v>
      </c>
      <c r="H735" s="14">
        <v>98459</v>
      </c>
      <c r="I735" s="15">
        <f t="shared" si="151"/>
        <v>35576.1</v>
      </c>
      <c r="J735" s="15">
        <f t="shared" si="152"/>
        <v>78767.20000000001</v>
      </c>
      <c r="K735" s="85">
        <f t="shared" si="153"/>
        <v>35576</v>
      </c>
      <c r="L735" s="79">
        <v>35576.1</v>
      </c>
      <c r="M735" s="86">
        <f>ROUND(VLOOKUP(B735,גיליון1!A661:B1631,2,0),0)</f>
        <v>98457</v>
      </c>
      <c r="N735" s="108"/>
    </row>
    <row r="736" spans="1:14" ht="15.75">
      <c r="A736" s="3">
        <v>732</v>
      </c>
      <c r="B736" s="12">
        <v>580591931</v>
      </c>
      <c r="C736" s="13" t="s">
        <v>478</v>
      </c>
      <c r="D736" s="13" t="s">
        <v>56</v>
      </c>
      <c r="E736" s="6">
        <v>63204.25</v>
      </c>
      <c r="F736" s="6">
        <v>31602</v>
      </c>
      <c r="G736" s="7">
        <f t="shared" si="150"/>
        <v>0.4999980222848938</v>
      </c>
      <c r="H736" s="14">
        <v>66260</v>
      </c>
      <c r="I736" s="15">
        <f t="shared" si="151"/>
        <v>44242.975</v>
      </c>
      <c r="J736" s="15">
        <f t="shared" si="152"/>
        <v>53008</v>
      </c>
      <c r="K736" s="85">
        <f t="shared" si="153"/>
        <v>44243</v>
      </c>
      <c r="L736" s="79">
        <v>31602.124999999996</v>
      </c>
      <c r="M736" s="86">
        <f>ROUND(VLOOKUP(B736,גיליון1!A662:B1632,2,0),0)</f>
        <v>66258</v>
      </c>
      <c r="N736" s="108"/>
    </row>
    <row r="737" spans="1:14" ht="15.75">
      <c r="A737">
        <v>733</v>
      </c>
      <c r="B737" s="12">
        <v>580592137</v>
      </c>
      <c r="C737" s="13" t="s">
        <v>547</v>
      </c>
      <c r="D737" s="17" t="s">
        <v>59</v>
      </c>
      <c r="E737" s="6">
        <v>72183.25</v>
      </c>
      <c r="F737" s="6">
        <v>50528.274999999994</v>
      </c>
      <c r="G737" s="7">
        <f t="shared" si="150"/>
        <v>0.7</v>
      </c>
      <c r="H737" s="14">
        <v>78380</v>
      </c>
      <c r="I737" s="15">
        <f t="shared" si="151"/>
        <v>50528.274999999994</v>
      </c>
      <c r="J737" s="15">
        <f t="shared" si="152"/>
        <v>62704</v>
      </c>
      <c r="K737" s="85">
        <f t="shared" si="153"/>
        <v>50528</v>
      </c>
      <c r="L737" s="79">
        <v>50528.274999999994</v>
      </c>
      <c r="M737" s="86">
        <f>ROUND(VLOOKUP(B737,גיליון1!A663:B1633,2,0),0)</f>
        <v>78382</v>
      </c>
      <c r="N737" s="108"/>
    </row>
    <row r="738" spans="1:14" ht="15.75">
      <c r="A738" s="3">
        <v>734</v>
      </c>
      <c r="B738" s="12">
        <v>580592475</v>
      </c>
      <c r="C738" s="13" t="s">
        <v>606</v>
      </c>
      <c r="D738" s="17" t="s">
        <v>59</v>
      </c>
      <c r="E738" s="6">
        <v>53475</v>
      </c>
      <c r="F738" s="6">
        <v>26738</v>
      </c>
      <c r="G738" s="7">
        <f t="shared" si="150"/>
        <v>0.5000093501636279</v>
      </c>
      <c r="H738" s="14">
        <v>95140</v>
      </c>
      <c r="I738" s="15">
        <f t="shared" si="151"/>
        <v>37432.5</v>
      </c>
      <c r="J738" s="15">
        <f t="shared" si="152"/>
        <v>76112</v>
      </c>
      <c r="K738" s="85">
        <f t="shared" si="153"/>
        <v>37433</v>
      </c>
      <c r="L738" s="79">
        <v>26737.5</v>
      </c>
      <c r="M738" s="86">
        <f>ROUND(VLOOKUP(B738,גיליון1!A664:B1634,2,0),0)</f>
        <v>95140</v>
      </c>
      <c r="N738" s="108"/>
    </row>
    <row r="739" spans="1:14" ht="15">
      <c r="A739">
        <v>735</v>
      </c>
      <c r="B739" s="41">
        <v>580592533</v>
      </c>
      <c r="C739" s="41" t="s">
        <v>761</v>
      </c>
      <c r="D739" s="42" t="s">
        <v>68</v>
      </c>
      <c r="E739" s="6">
        <v>8363</v>
      </c>
      <c r="F739" s="6">
        <v>4182</v>
      </c>
      <c r="G739" s="7">
        <f t="shared" si="150"/>
        <v>0.5000597871577185</v>
      </c>
      <c r="H739" s="14">
        <v>4943</v>
      </c>
      <c r="I739" s="15">
        <f t="shared" si="151"/>
        <v>5854.099999999999</v>
      </c>
      <c r="J739" s="15">
        <f t="shared" si="152"/>
        <v>3954.4</v>
      </c>
      <c r="K739" s="85">
        <f t="shared" si="153"/>
        <v>0</v>
      </c>
      <c r="L739" s="79">
        <v>4181.5</v>
      </c>
      <c r="M739" s="86">
        <f>ROUND(VLOOKUP(B739,גיליון1!A665:B1635,2,0),0)</f>
        <v>4943</v>
      </c>
      <c r="N739" s="108"/>
    </row>
    <row r="740" spans="1:14" ht="15.75">
      <c r="A740" s="3">
        <v>736</v>
      </c>
      <c r="B740" s="18">
        <v>580592806</v>
      </c>
      <c r="C740" s="18" t="s">
        <v>1014</v>
      </c>
      <c r="D740" s="13"/>
      <c r="E740" s="116"/>
      <c r="F740" s="116"/>
      <c r="G740" s="117"/>
      <c r="H740" s="118">
        <v>98642</v>
      </c>
      <c r="I740" s="15"/>
      <c r="J740" s="15"/>
      <c r="K740" s="110"/>
      <c r="L740" s="79"/>
      <c r="M740" s="86"/>
      <c r="N740" s="108"/>
    </row>
    <row r="741" spans="1:14" ht="15.75">
      <c r="A741">
        <v>737</v>
      </c>
      <c r="B741" s="13">
        <v>580593887</v>
      </c>
      <c r="C741" s="13" t="s">
        <v>309</v>
      </c>
      <c r="D741" s="13" t="s">
        <v>70</v>
      </c>
      <c r="E741" s="6">
        <v>42065.25</v>
      </c>
      <c r="F741" s="6">
        <v>29445.675</v>
      </c>
      <c r="G741" s="7">
        <f aca="true" t="shared" si="154" ref="G741:G749">F741/E741</f>
        <v>0.7</v>
      </c>
      <c r="H741" s="14">
        <v>70720</v>
      </c>
      <c r="I741" s="15">
        <f aca="true" t="shared" si="155" ref="I741:I749">E741*$I$2</f>
        <v>29445.675</v>
      </c>
      <c r="J741" s="15">
        <f aca="true" t="shared" si="156" ref="J741:J749">H741*$J$2</f>
        <v>56576</v>
      </c>
      <c r="K741" s="85">
        <f aca="true" t="shared" si="157" ref="K741:K749">ROUND(IF(IF(MIN(I741,J741)&lt;F741,MIN(I741,J741)-F741,MIN(I741,J741))&lt;0,0,IF(MIN(I741,J741)&lt;F741,MIN(I741,J741)-F741,MIN(I741,J741))),0)</f>
        <v>29446</v>
      </c>
      <c r="L741" s="79">
        <v>29445.675</v>
      </c>
      <c r="M741" s="86">
        <f>ROUND(VLOOKUP(B741,גיליון1!A666:B1636,2,0),0)</f>
        <v>70719</v>
      </c>
      <c r="N741" s="108"/>
    </row>
    <row r="742" spans="1:14" ht="15">
      <c r="A742" s="3">
        <v>738</v>
      </c>
      <c r="B742" s="41">
        <v>580594000</v>
      </c>
      <c r="C742" s="41" t="s">
        <v>607</v>
      </c>
      <c r="D742" s="42" t="s">
        <v>56</v>
      </c>
      <c r="E742" s="6">
        <v>15167</v>
      </c>
      <c r="F742" s="6">
        <v>7584</v>
      </c>
      <c r="G742" s="7">
        <f t="shared" si="154"/>
        <v>0.5000329663084327</v>
      </c>
      <c r="H742" s="14">
        <v>43642</v>
      </c>
      <c r="I742" s="15">
        <f t="shared" si="155"/>
        <v>10616.9</v>
      </c>
      <c r="J742" s="15">
        <f t="shared" si="156"/>
        <v>34913.6</v>
      </c>
      <c r="K742" s="85">
        <f t="shared" si="157"/>
        <v>10617</v>
      </c>
      <c r="L742" s="79">
        <v>7583.5</v>
      </c>
      <c r="M742" s="86">
        <f>ROUND(VLOOKUP(B742,גיליון1!A667:B1637,2,0),0)</f>
        <v>43642</v>
      </c>
      <c r="N742" s="108"/>
    </row>
    <row r="743" spans="1:14" ht="15.75">
      <c r="A743">
        <v>739</v>
      </c>
      <c r="B743" s="12">
        <v>580595031</v>
      </c>
      <c r="C743" s="13" t="s">
        <v>579</v>
      </c>
      <c r="D743" s="13" t="s">
        <v>56</v>
      </c>
      <c r="E743" s="6">
        <v>41984</v>
      </c>
      <c r="F743" s="6">
        <v>20992</v>
      </c>
      <c r="G743" s="7">
        <f t="shared" si="154"/>
        <v>0.5</v>
      </c>
      <c r="H743" s="14">
        <v>21297</v>
      </c>
      <c r="I743" s="15">
        <f t="shared" si="155"/>
        <v>29388.8</v>
      </c>
      <c r="J743" s="15">
        <f t="shared" si="156"/>
        <v>17037.600000000002</v>
      </c>
      <c r="K743" s="85">
        <f t="shared" si="157"/>
        <v>0</v>
      </c>
      <c r="L743" s="79">
        <v>20992.000000000004</v>
      </c>
      <c r="M743" s="86">
        <f>ROUND(VLOOKUP(B743,גיליון1!A668:B1638,2,0),0)</f>
        <v>21297</v>
      </c>
      <c r="N743" s="108"/>
    </row>
    <row r="744" spans="1:14" ht="15.75">
      <c r="A744" s="3">
        <v>740</v>
      </c>
      <c r="B744" s="12">
        <v>580595411</v>
      </c>
      <c r="C744" s="12" t="s">
        <v>649</v>
      </c>
      <c r="D744" s="13" t="s">
        <v>59</v>
      </c>
      <c r="E744" s="6">
        <v>42426.5</v>
      </c>
      <c r="F744" s="6">
        <v>29698.55</v>
      </c>
      <c r="G744" s="7">
        <f t="shared" si="154"/>
        <v>0.7</v>
      </c>
      <c r="H744" s="14">
        <v>51498</v>
      </c>
      <c r="I744" s="15">
        <f t="shared" si="155"/>
        <v>29698.55</v>
      </c>
      <c r="J744" s="15">
        <f t="shared" si="156"/>
        <v>41198.4</v>
      </c>
      <c r="K744" s="85">
        <f t="shared" si="157"/>
        <v>29699</v>
      </c>
      <c r="L744" s="79">
        <v>29698.55</v>
      </c>
      <c r="M744" s="86">
        <f>ROUND(VLOOKUP(B744,גיליון1!A669:B1639,2,0),0)</f>
        <v>51498</v>
      </c>
      <c r="N744" s="108"/>
    </row>
    <row r="745" spans="1:14" ht="15.75">
      <c r="A745">
        <v>741</v>
      </c>
      <c r="B745" s="13">
        <v>580597862</v>
      </c>
      <c r="C745" s="13" t="s">
        <v>548</v>
      </c>
      <c r="D745" s="13" t="s">
        <v>59</v>
      </c>
      <c r="E745" s="6">
        <v>26176</v>
      </c>
      <c r="F745" s="6">
        <v>18323</v>
      </c>
      <c r="G745" s="7">
        <f t="shared" si="154"/>
        <v>0.6999923594132029</v>
      </c>
      <c r="H745" s="14">
        <v>27042</v>
      </c>
      <c r="I745" s="15">
        <f t="shared" si="155"/>
        <v>18323.199999999997</v>
      </c>
      <c r="J745" s="15">
        <f t="shared" si="156"/>
        <v>21633.600000000002</v>
      </c>
      <c r="K745" s="85">
        <f t="shared" si="157"/>
        <v>18323</v>
      </c>
      <c r="L745" s="79">
        <v>18323.199999999997</v>
      </c>
      <c r="M745" s="86">
        <f>ROUND(VLOOKUP(B745,גיליון1!A670:B1640,2,0),0)</f>
        <v>27042</v>
      </c>
      <c r="N745" s="108"/>
    </row>
    <row r="746" spans="1:14" ht="15.75">
      <c r="A746" s="3">
        <v>742</v>
      </c>
      <c r="B746" s="39">
        <v>580598183</v>
      </c>
      <c r="C746" s="13" t="s">
        <v>240</v>
      </c>
      <c r="D746" s="13" t="s">
        <v>64</v>
      </c>
      <c r="E746" s="6">
        <v>34354.75</v>
      </c>
      <c r="F746" s="6">
        <v>24048</v>
      </c>
      <c r="G746" s="7">
        <f t="shared" si="154"/>
        <v>0.6999905398816757</v>
      </c>
      <c r="H746" s="14">
        <v>80323</v>
      </c>
      <c r="I746" s="15">
        <f t="shared" si="155"/>
        <v>24048.324999999997</v>
      </c>
      <c r="J746" s="15">
        <f t="shared" si="156"/>
        <v>64258.4</v>
      </c>
      <c r="K746" s="85">
        <f t="shared" si="157"/>
        <v>24048</v>
      </c>
      <c r="L746" s="79">
        <v>24048.324999999997</v>
      </c>
      <c r="M746" s="86">
        <f>ROUND(VLOOKUP(B746,גיליון1!A671:B1641,2,0),0)</f>
        <v>80323</v>
      </c>
      <c r="N746" s="108"/>
    </row>
    <row r="747" spans="1:14" ht="15.75">
      <c r="A747">
        <v>743</v>
      </c>
      <c r="B747" s="12">
        <v>580598993</v>
      </c>
      <c r="C747" s="19" t="s">
        <v>479</v>
      </c>
      <c r="D747" s="19" t="s">
        <v>64</v>
      </c>
      <c r="E747" s="6">
        <v>41584.8</v>
      </c>
      <c r="F747" s="6">
        <v>16634</v>
      </c>
      <c r="G747" s="7">
        <f t="shared" si="154"/>
        <v>0.4000019237798426</v>
      </c>
      <c r="H747" s="14">
        <v>26080</v>
      </c>
      <c r="I747" s="15">
        <f t="shared" si="155"/>
        <v>29109.36</v>
      </c>
      <c r="J747" s="15">
        <f t="shared" si="156"/>
        <v>20864</v>
      </c>
      <c r="K747" s="85">
        <f t="shared" si="157"/>
        <v>20864</v>
      </c>
      <c r="L747" s="79">
        <v>16633.920000000002</v>
      </c>
      <c r="M747" s="86">
        <f>ROUND(VLOOKUP(B747,גיליון1!A672:B1642,2,0),0)</f>
        <v>26080</v>
      </c>
      <c r="N747" s="108"/>
    </row>
    <row r="748" spans="1:14" ht="15.75">
      <c r="A748" s="3">
        <v>744</v>
      </c>
      <c r="B748" s="12">
        <v>580599173</v>
      </c>
      <c r="C748" s="13" t="s">
        <v>480</v>
      </c>
      <c r="D748" s="13" t="s">
        <v>70</v>
      </c>
      <c r="E748" s="6">
        <v>306547.5</v>
      </c>
      <c r="F748" s="6">
        <v>194636</v>
      </c>
      <c r="G748" s="7">
        <f t="shared" si="154"/>
        <v>0.6349293339531394</v>
      </c>
      <c r="H748" s="14">
        <v>243295</v>
      </c>
      <c r="I748" s="15">
        <f t="shared" si="155"/>
        <v>214583.25</v>
      </c>
      <c r="J748" s="15">
        <f t="shared" si="156"/>
        <v>194636</v>
      </c>
      <c r="K748" s="85">
        <f t="shared" si="157"/>
        <v>194636</v>
      </c>
      <c r="L748" s="79">
        <v>194636</v>
      </c>
      <c r="M748" s="86">
        <f>ROUND(VLOOKUP(B748,גיליון1!A673:B1643,2,0),0)</f>
        <v>243296</v>
      </c>
      <c r="N748" s="108"/>
    </row>
    <row r="749" spans="1:14" ht="15">
      <c r="A749">
        <v>745</v>
      </c>
      <c r="B749" s="31">
        <v>580599660</v>
      </c>
      <c r="C749" s="4" t="s">
        <v>765</v>
      </c>
      <c r="D749" s="4" t="s">
        <v>68</v>
      </c>
      <c r="E749" s="6">
        <v>38064.75</v>
      </c>
      <c r="F749" s="6">
        <v>26645</v>
      </c>
      <c r="G749" s="7">
        <f t="shared" si="154"/>
        <v>0.6999914619168653</v>
      </c>
      <c r="H749" s="14">
        <v>36838</v>
      </c>
      <c r="I749" s="15">
        <f t="shared" si="155"/>
        <v>26645.324999999997</v>
      </c>
      <c r="J749" s="15">
        <f t="shared" si="156"/>
        <v>29470.4</v>
      </c>
      <c r="K749" s="85">
        <f t="shared" si="157"/>
        <v>26645</v>
      </c>
      <c r="L749" s="79">
        <v>26645.324999999997</v>
      </c>
      <c r="M749" s="86">
        <f>ROUND(VLOOKUP(B749,גיליון1!A674:B1644,2,0),0)</f>
        <v>36838</v>
      </c>
      <c r="N749" s="108"/>
    </row>
    <row r="750" spans="1:14" ht="15.75">
      <c r="A750" s="3">
        <v>746</v>
      </c>
      <c r="B750" s="18">
        <v>580600328</v>
      </c>
      <c r="C750" s="18" t="s">
        <v>1015</v>
      </c>
      <c r="D750" s="13"/>
      <c r="E750" s="116"/>
      <c r="F750" s="116"/>
      <c r="G750" s="117"/>
      <c r="H750" s="118">
        <v>6432</v>
      </c>
      <c r="I750" s="15"/>
      <c r="J750" s="15"/>
      <c r="K750" s="110"/>
      <c r="L750" s="79"/>
      <c r="M750" s="86"/>
      <c r="N750" s="108"/>
    </row>
    <row r="751" spans="1:14" ht="15.75">
      <c r="A751">
        <v>747</v>
      </c>
      <c r="B751" s="18">
        <v>580600583</v>
      </c>
      <c r="C751" s="18" t="s">
        <v>1016</v>
      </c>
      <c r="D751" s="13"/>
      <c r="E751" s="116"/>
      <c r="F751" s="116"/>
      <c r="G751" s="117"/>
      <c r="H751" s="118">
        <v>7057</v>
      </c>
      <c r="I751" s="15"/>
      <c r="J751" s="15"/>
      <c r="K751" s="110"/>
      <c r="L751" s="79"/>
      <c r="M751" s="86"/>
      <c r="N751" s="108"/>
    </row>
    <row r="752" spans="1:14" ht="15.75">
      <c r="A752" s="3">
        <v>748</v>
      </c>
      <c r="B752" s="12">
        <v>580600997</v>
      </c>
      <c r="C752" s="13" t="s">
        <v>310</v>
      </c>
      <c r="D752" s="17" t="s">
        <v>59</v>
      </c>
      <c r="E752" s="6">
        <v>15782.5</v>
      </c>
      <c r="F752" s="6">
        <v>7891</v>
      </c>
      <c r="G752" s="7">
        <f>F752/E752</f>
        <v>0.4999841596705211</v>
      </c>
      <c r="H752" s="14">
        <v>9094</v>
      </c>
      <c r="I752" s="15">
        <f>E752*$I$2</f>
        <v>11047.75</v>
      </c>
      <c r="J752" s="15">
        <f>H752*$J$2</f>
        <v>7275.200000000001</v>
      </c>
      <c r="K752" s="85">
        <f>ROUND(IF(IF(MIN(I752,J752)&lt;F752,MIN(I752,J752)-F752,MIN(I752,J752))&lt;0,0,IF(MIN(I752,J752)&lt;F752,MIN(I752,J752)-F752,MIN(I752,J752))),0)</f>
        <v>0</v>
      </c>
      <c r="L752" s="79">
        <v>7891.25</v>
      </c>
      <c r="M752" s="86">
        <f>ROUND(VLOOKUP(B752,גיליון1!A675:B1645,2,0),0)</f>
        <v>9094</v>
      </c>
      <c r="N752" s="108"/>
    </row>
    <row r="753" spans="1:14" ht="15.75">
      <c r="A753">
        <v>749</v>
      </c>
      <c r="B753" s="13">
        <v>580601755</v>
      </c>
      <c r="C753" s="13" t="s">
        <v>241</v>
      </c>
      <c r="D753" s="13" t="s">
        <v>64</v>
      </c>
      <c r="E753" s="6">
        <v>25518.5</v>
      </c>
      <c r="F753" s="6">
        <v>17863</v>
      </c>
      <c r="G753" s="7">
        <f>F753/E753</f>
        <v>0.7000019593628152</v>
      </c>
      <c r="H753" s="14">
        <v>30184</v>
      </c>
      <c r="I753" s="15">
        <f>E753*$I$2</f>
        <v>17862.949999999997</v>
      </c>
      <c r="J753" s="15">
        <f>H753*$J$2</f>
        <v>24147.2</v>
      </c>
      <c r="K753" s="85">
        <f>ROUND(IF(IF(MIN(I753,J753)&lt;F753,MIN(I753,J753)-F753,MIN(I753,J753))&lt;0,0,IF(MIN(I753,J753)&lt;F753,MIN(I753,J753)-F753,MIN(I753,J753))),0)</f>
        <v>0</v>
      </c>
      <c r="L753" s="79">
        <v>17862.949999999997</v>
      </c>
      <c r="M753" s="86">
        <f>ROUND(VLOOKUP(B753,גיליון1!A676:B1646,2,0),0)</f>
        <v>30184</v>
      </c>
      <c r="N753" s="108"/>
    </row>
    <row r="754" spans="1:14" ht="15.75">
      <c r="A754" s="3">
        <v>750</v>
      </c>
      <c r="B754" s="121">
        <v>580603025</v>
      </c>
      <c r="C754" s="120" t="s">
        <v>1017</v>
      </c>
      <c r="D754" s="13"/>
      <c r="E754" s="116">
        <v>83924</v>
      </c>
      <c r="F754" s="116">
        <v>41962</v>
      </c>
      <c r="G754" s="117"/>
      <c r="H754" s="118">
        <v>124285</v>
      </c>
      <c r="I754" s="15"/>
      <c r="J754" s="15"/>
      <c r="K754" s="110"/>
      <c r="L754" s="79"/>
      <c r="M754" s="86"/>
      <c r="N754" s="108"/>
    </row>
    <row r="755" spans="1:14" ht="15.75">
      <c r="A755">
        <v>751</v>
      </c>
      <c r="B755" s="13">
        <v>580603207</v>
      </c>
      <c r="C755" s="13" t="s">
        <v>419</v>
      </c>
      <c r="D755" s="13" t="s">
        <v>64</v>
      </c>
      <c r="E755" s="6">
        <v>114992</v>
      </c>
      <c r="F755" s="6">
        <v>36733</v>
      </c>
      <c r="G755" s="7">
        <f>F755/E755</f>
        <v>0.3194396131904828</v>
      </c>
      <c r="H755" s="14">
        <v>36733</v>
      </c>
      <c r="I755" s="15">
        <f>E755*$I$2</f>
        <v>80494.4</v>
      </c>
      <c r="J755" s="15">
        <f>H755*$J$2</f>
        <v>29386.4</v>
      </c>
      <c r="K755" s="85">
        <f>ROUND(IF(IF(MIN(I755,J755)&lt;F755,MIN(I755,J755)-F755,MIN(I755,J755))&lt;0,0,IF(MIN(I755,J755)&lt;F755,MIN(I755,J755)-F755,MIN(I755,J755))),0)</f>
        <v>0</v>
      </c>
      <c r="L755" s="79">
        <v>57496</v>
      </c>
      <c r="M755" s="86">
        <f>ROUND(VLOOKUP(B755,גיליון1!A677:B1647,2,0),0)</f>
        <v>36733</v>
      </c>
      <c r="N755" s="108"/>
    </row>
    <row r="756" spans="1:14" ht="15.75">
      <c r="A756" s="3">
        <v>752</v>
      </c>
      <c r="B756" s="12">
        <v>580603454</v>
      </c>
      <c r="C756" s="13" t="s">
        <v>481</v>
      </c>
      <c r="D756" s="17" t="s">
        <v>59</v>
      </c>
      <c r="E756" s="6">
        <v>51779.5</v>
      </c>
      <c r="F756" s="6">
        <v>36246</v>
      </c>
      <c r="G756" s="7">
        <f>F756/E756</f>
        <v>0.7000067594318214</v>
      </c>
      <c r="H756" s="14">
        <v>60308</v>
      </c>
      <c r="I756" s="15">
        <f>E756*$I$2</f>
        <v>36245.649999999994</v>
      </c>
      <c r="J756" s="15">
        <f>H756*$J$2</f>
        <v>48246.4</v>
      </c>
      <c r="K756" s="85">
        <f>ROUND(IF(IF(MIN(I756,J756)&lt;F756,MIN(I756,J756)-F756,MIN(I756,J756))&lt;0,0,IF(MIN(I756,J756)&lt;F756,MIN(I756,J756)-F756,MIN(I756,J756))),0)</f>
        <v>0</v>
      </c>
      <c r="L756" s="79">
        <v>36245.649999999994</v>
      </c>
      <c r="M756" s="86">
        <f>ROUND(VLOOKUP(B756,גיליון1!A678:B1648,2,0),0)</f>
        <v>60307</v>
      </c>
      <c r="N756" s="108"/>
    </row>
    <row r="757" spans="1:14" ht="15.75">
      <c r="A757">
        <v>753</v>
      </c>
      <c r="B757" s="12">
        <v>580603892</v>
      </c>
      <c r="C757" s="13" t="s">
        <v>311</v>
      </c>
      <c r="D757" s="17" t="s">
        <v>59</v>
      </c>
      <c r="E757" s="116">
        <v>244207.25</v>
      </c>
      <c r="F757" s="116">
        <v>165153</v>
      </c>
      <c r="G757" s="117">
        <f>F757/E757</f>
        <v>0.676282133310948</v>
      </c>
      <c r="H757" s="118">
        <v>206442</v>
      </c>
      <c r="I757" s="15">
        <f>E757*$I$2</f>
        <v>170945.07499999998</v>
      </c>
      <c r="J757" s="15">
        <f>H757*$J$2</f>
        <v>165153.6</v>
      </c>
      <c r="K757" s="110">
        <f>ROUND(IF(IF(MIN(I757,J757)&lt;F757,MIN(I757,J757)-F757,MIN(I757,J757))&lt;0,0,IF(MIN(I757,J757)&lt;F757,MIN(I757,J757)-F757,MIN(I757,J757))),0)</f>
        <v>165154</v>
      </c>
      <c r="L757" s="79">
        <v>165153.352</v>
      </c>
      <c r="M757" s="86">
        <f>ROUND(VLOOKUP(B757,גיליון1!A679:B1649,2,0),0)</f>
        <v>206442</v>
      </c>
      <c r="N757" s="108"/>
    </row>
    <row r="758" spans="1:14" ht="15.75">
      <c r="A758" s="3">
        <v>754</v>
      </c>
      <c r="B758" s="18">
        <v>580604528</v>
      </c>
      <c r="C758" s="18" t="s">
        <v>1111</v>
      </c>
      <c r="D758" s="13"/>
      <c r="E758" s="116"/>
      <c r="F758" s="116"/>
      <c r="G758" s="117"/>
      <c r="H758" s="118">
        <v>111026</v>
      </c>
      <c r="I758" s="15"/>
      <c r="J758" s="15"/>
      <c r="K758" s="110"/>
      <c r="L758" s="79"/>
      <c r="M758" s="86"/>
      <c r="N758" s="108"/>
    </row>
    <row r="759" spans="1:14" ht="15.75">
      <c r="A759">
        <v>755</v>
      </c>
      <c r="B759" s="12">
        <v>580605350</v>
      </c>
      <c r="C759" s="13" t="s">
        <v>1112</v>
      </c>
      <c r="D759" s="13"/>
      <c r="E759" s="116"/>
      <c r="F759" s="116"/>
      <c r="G759" s="117"/>
      <c r="H759" s="118">
        <v>28516</v>
      </c>
      <c r="I759" s="15"/>
      <c r="J759" s="15"/>
      <c r="K759" s="110"/>
      <c r="L759" s="79"/>
      <c r="M759" s="86"/>
      <c r="N759" s="108"/>
    </row>
    <row r="760" spans="1:14" ht="15.75">
      <c r="A760" s="3">
        <v>756</v>
      </c>
      <c r="B760" s="12">
        <v>580605699</v>
      </c>
      <c r="C760" s="13" t="s">
        <v>420</v>
      </c>
      <c r="D760" s="17" t="s">
        <v>59</v>
      </c>
      <c r="E760" s="116">
        <v>219142.25</v>
      </c>
      <c r="F760" s="116">
        <v>153400</v>
      </c>
      <c r="G760" s="117">
        <f aca="true" t="shared" si="158" ref="G760:G766">F760/E760</f>
        <v>0.7000019393795582</v>
      </c>
      <c r="H760" s="118">
        <v>257682</v>
      </c>
      <c r="I760" s="15">
        <f aca="true" t="shared" si="159" ref="I760:I766">E760*$I$2</f>
        <v>153399.57499999998</v>
      </c>
      <c r="J760" s="15">
        <f aca="true" t="shared" si="160" ref="J760:J766">H760*$J$2</f>
        <v>206145.6</v>
      </c>
      <c r="K760" s="110">
        <f aca="true" t="shared" si="161" ref="K760:K766">ROUND(IF(IF(MIN(I760,J760)&lt;F760,MIN(I760,J760)-F760,MIN(I760,J760))&lt;0,0,IF(MIN(I760,J760)&lt;F760,MIN(I760,J760)-F760,MIN(I760,J760))),0)</f>
        <v>0</v>
      </c>
      <c r="L760" s="79">
        <v>153399.57499999998</v>
      </c>
      <c r="M760" s="86">
        <f>ROUND(VLOOKUP(B760,גיליון1!A680:B1650,2,0),0)</f>
        <v>257682</v>
      </c>
      <c r="N760" s="108"/>
    </row>
    <row r="761" spans="1:14" ht="15">
      <c r="A761">
        <v>757</v>
      </c>
      <c r="B761" s="18">
        <v>580606549</v>
      </c>
      <c r="C761" s="18" t="s">
        <v>711</v>
      </c>
      <c r="D761" s="4" t="s">
        <v>68</v>
      </c>
      <c r="E761" s="116">
        <v>64836</v>
      </c>
      <c r="F761" s="116">
        <v>32418</v>
      </c>
      <c r="G761" s="117">
        <f t="shared" si="158"/>
        <v>0.5</v>
      </c>
      <c r="H761" s="118">
        <v>23836</v>
      </c>
      <c r="I761" s="15">
        <f t="shared" si="159"/>
        <v>45385.2</v>
      </c>
      <c r="J761" s="15">
        <f t="shared" si="160"/>
        <v>19068.8</v>
      </c>
      <c r="K761" s="110">
        <f t="shared" si="161"/>
        <v>0</v>
      </c>
      <c r="L761" s="79">
        <v>32092</v>
      </c>
      <c r="M761" s="86">
        <f>ROUND(VLOOKUP(B761,גיליון1!A681:B1651,2,0),0)</f>
        <v>23836</v>
      </c>
      <c r="N761" s="108"/>
    </row>
    <row r="762" spans="1:14" ht="30">
      <c r="A762" s="3">
        <v>758</v>
      </c>
      <c r="B762" s="12">
        <v>580606994</v>
      </c>
      <c r="C762" s="30" t="s">
        <v>740</v>
      </c>
      <c r="D762" s="17" t="s">
        <v>59</v>
      </c>
      <c r="E762" s="116">
        <v>21908.25</v>
      </c>
      <c r="F762" s="116">
        <v>10954</v>
      </c>
      <c r="G762" s="117">
        <f t="shared" si="158"/>
        <v>0.49999429438681775</v>
      </c>
      <c r="H762" s="118">
        <v>12918</v>
      </c>
      <c r="I762" s="15">
        <f t="shared" si="159"/>
        <v>15335.775</v>
      </c>
      <c r="J762" s="15">
        <f t="shared" si="160"/>
        <v>10334.400000000001</v>
      </c>
      <c r="K762" s="110">
        <f t="shared" si="161"/>
        <v>0</v>
      </c>
      <c r="L762" s="79">
        <v>10954.125</v>
      </c>
      <c r="M762" s="86">
        <f>ROUND(VLOOKUP(B762,גיליון1!A682:B1652,2,0),0)</f>
        <v>12918</v>
      </c>
      <c r="N762" s="108"/>
    </row>
    <row r="763" spans="1:14" ht="15">
      <c r="A763">
        <v>759</v>
      </c>
      <c r="B763" s="44">
        <v>580607257</v>
      </c>
      <c r="C763" s="42" t="s">
        <v>549</v>
      </c>
      <c r="D763" s="42" t="s">
        <v>68</v>
      </c>
      <c r="E763" s="116">
        <v>74952.75</v>
      </c>
      <c r="F763" s="116">
        <v>37476</v>
      </c>
      <c r="G763" s="117">
        <f t="shared" si="158"/>
        <v>0.49999499684801424</v>
      </c>
      <c r="H763" s="118">
        <v>71135</v>
      </c>
      <c r="I763" s="15">
        <f t="shared" si="159"/>
        <v>52466.924999999996</v>
      </c>
      <c r="J763" s="15">
        <f t="shared" si="160"/>
        <v>56908</v>
      </c>
      <c r="K763" s="110">
        <f t="shared" si="161"/>
        <v>52467</v>
      </c>
      <c r="L763" s="79">
        <v>37476.375</v>
      </c>
      <c r="M763" s="86">
        <f>ROUND(VLOOKUP(B763,גיליון1!A683:B1653,2,0),0)</f>
        <v>71135</v>
      </c>
      <c r="N763" s="108"/>
    </row>
    <row r="764" spans="1:14" ht="15.75">
      <c r="A764" s="3">
        <v>760</v>
      </c>
      <c r="B764" s="13">
        <v>580608164</v>
      </c>
      <c r="C764" s="13" t="s">
        <v>242</v>
      </c>
      <c r="D764" s="13" t="s">
        <v>64</v>
      </c>
      <c r="E764" s="116">
        <v>111515.25</v>
      </c>
      <c r="F764" s="116">
        <v>55758</v>
      </c>
      <c r="G764" s="117">
        <f t="shared" si="158"/>
        <v>0.5000033627687693</v>
      </c>
      <c r="H764" s="118">
        <v>149081</v>
      </c>
      <c r="I764" s="15">
        <f t="shared" si="159"/>
        <v>78060.67499999999</v>
      </c>
      <c r="J764" s="15">
        <f t="shared" si="160"/>
        <v>119264.8</v>
      </c>
      <c r="K764" s="110">
        <f t="shared" si="161"/>
        <v>78061</v>
      </c>
      <c r="L764" s="79">
        <v>55757.625</v>
      </c>
      <c r="M764" s="86">
        <f>ROUND(VLOOKUP(B764,גיליון1!A684:B1654,2,0),0)</f>
        <v>149082</v>
      </c>
      <c r="N764" s="108"/>
    </row>
    <row r="765" spans="1:14" ht="15.75">
      <c r="A765">
        <v>761</v>
      </c>
      <c r="B765" s="19">
        <v>580608420</v>
      </c>
      <c r="C765" s="19" t="s">
        <v>550</v>
      </c>
      <c r="D765" s="19" t="s">
        <v>64</v>
      </c>
      <c r="E765" s="116">
        <v>21501</v>
      </c>
      <c r="F765" s="116">
        <v>13482.239999999998</v>
      </c>
      <c r="G765" s="117">
        <f t="shared" si="158"/>
        <v>0.6270517650341844</v>
      </c>
      <c r="H765" s="118">
        <v>28812</v>
      </c>
      <c r="I765" s="15">
        <f t="shared" si="159"/>
        <v>15050.699999999999</v>
      </c>
      <c r="J765" s="15">
        <f t="shared" si="160"/>
        <v>23049.600000000002</v>
      </c>
      <c r="K765" s="110">
        <f t="shared" si="161"/>
        <v>15051</v>
      </c>
      <c r="L765" s="79">
        <v>13482.239999999998</v>
      </c>
      <c r="M765" s="86">
        <f>ROUND(VLOOKUP(B765,גיליון1!A685:B1655,2,0),0)</f>
        <v>28812</v>
      </c>
      <c r="N765" s="108"/>
    </row>
    <row r="766" spans="1:14" ht="15.75">
      <c r="A766" s="3">
        <v>762</v>
      </c>
      <c r="B766" s="12">
        <v>580608685</v>
      </c>
      <c r="C766" s="13" t="s">
        <v>312</v>
      </c>
      <c r="D766" s="13" t="s">
        <v>56</v>
      </c>
      <c r="E766" s="116">
        <v>120796</v>
      </c>
      <c r="F766" s="116">
        <v>84557</v>
      </c>
      <c r="G766" s="117">
        <f t="shared" si="158"/>
        <v>0.6999983443160369</v>
      </c>
      <c r="H766" s="118">
        <v>144018</v>
      </c>
      <c r="I766" s="15">
        <f t="shared" si="159"/>
        <v>84557.2</v>
      </c>
      <c r="J766" s="15">
        <f t="shared" si="160"/>
        <v>115214.40000000001</v>
      </c>
      <c r="K766" s="110">
        <f t="shared" si="161"/>
        <v>84557</v>
      </c>
      <c r="L766" s="79">
        <v>84557.2</v>
      </c>
      <c r="M766" s="86">
        <f>ROUND(VLOOKUP(B766,גיליון1!A686:B1656,2,0),0)</f>
        <v>144020</v>
      </c>
      <c r="N766" s="108"/>
    </row>
    <row r="767" spans="1:14" ht="15.75">
      <c r="A767">
        <v>763</v>
      </c>
      <c r="B767" s="18">
        <v>580609105</v>
      </c>
      <c r="C767" s="18" t="s">
        <v>1021</v>
      </c>
      <c r="D767" s="13"/>
      <c r="E767" s="116"/>
      <c r="F767" s="116"/>
      <c r="G767" s="117"/>
      <c r="H767" s="118">
        <v>5214</v>
      </c>
      <c r="I767" s="15"/>
      <c r="J767" s="15"/>
      <c r="K767" s="110"/>
      <c r="L767" s="79"/>
      <c r="M767" s="86"/>
      <c r="N767" s="108"/>
    </row>
    <row r="768" spans="1:14" ht="15.75">
      <c r="A768" s="3">
        <v>764</v>
      </c>
      <c r="B768" s="12">
        <v>580610079</v>
      </c>
      <c r="C768" s="13" t="s">
        <v>421</v>
      </c>
      <c r="D768" s="13" t="s">
        <v>56</v>
      </c>
      <c r="E768" s="116">
        <v>15869</v>
      </c>
      <c r="F768" s="116">
        <v>7935</v>
      </c>
      <c r="G768" s="117">
        <f>F768/E768</f>
        <v>0.5000315079715167</v>
      </c>
      <c r="H768" s="118">
        <v>141056</v>
      </c>
      <c r="I768" s="15">
        <f>E768*$I$2</f>
        <v>11108.3</v>
      </c>
      <c r="J768" s="15">
        <f>H768*$J$2</f>
        <v>112844.8</v>
      </c>
      <c r="K768" s="110">
        <f>ROUND(IF(IF(MIN(I768,J768)&lt;F768,MIN(I768,J768)-F768,MIN(I768,J768))&lt;0,0,IF(MIN(I768,J768)&lt;F768,MIN(I768,J768)-F768,MIN(I768,J768))),0)</f>
        <v>11108</v>
      </c>
      <c r="L768" s="79">
        <v>7934.5</v>
      </c>
      <c r="M768" s="86">
        <f>ROUND(VLOOKUP(B768,גיליון1!A687:B1657,2,0),0)</f>
        <v>141054</v>
      </c>
      <c r="N768" s="108"/>
    </row>
    <row r="769" spans="1:14" ht="15.75">
      <c r="A769">
        <v>765</v>
      </c>
      <c r="B769" s="12">
        <v>580611234</v>
      </c>
      <c r="C769" s="13" t="s">
        <v>610</v>
      </c>
      <c r="D769" s="13" t="s">
        <v>56</v>
      </c>
      <c r="E769" s="116">
        <v>22677.75</v>
      </c>
      <c r="F769" s="116">
        <v>15874</v>
      </c>
      <c r="G769" s="117">
        <f>F769/E769</f>
        <v>0.6999812591637178</v>
      </c>
      <c r="H769" s="118">
        <v>25640</v>
      </c>
      <c r="I769" s="15">
        <f>E769*$I$2</f>
        <v>15874.425</v>
      </c>
      <c r="J769" s="15">
        <f>H769*$J$2</f>
        <v>20512</v>
      </c>
      <c r="K769" s="110">
        <f>ROUND(IF(IF(MIN(I769,J769)&lt;F769,MIN(I769,J769)-F769,MIN(I769,J769))&lt;0,0,IF(MIN(I769,J769)&lt;F769,MIN(I769,J769)-F769,MIN(I769,J769))),0)</f>
        <v>15874</v>
      </c>
      <c r="L769" s="79">
        <v>15874.425</v>
      </c>
      <c r="M769" s="86">
        <f>ROUND(VLOOKUP(B769,גיליון1!A688:B1658,2,0),0)</f>
        <v>25640</v>
      </c>
      <c r="N769" s="108"/>
    </row>
    <row r="770" spans="1:14" ht="15.75">
      <c r="A770" s="3">
        <v>766</v>
      </c>
      <c r="B770" s="12">
        <v>580612059</v>
      </c>
      <c r="C770" s="13" t="s">
        <v>243</v>
      </c>
      <c r="D770" s="13" t="s">
        <v>59</v>
      </c>
      <c r="E770" s="116">
        <v>65112.25</v>
      </c>
      <c r="F770" s="116">
        <v>45579</v>
      </c>
      <c r="G770" s="117">
        <f>F770/E770</f>
        <v>0.7000065271895841</v>
      </c>
      <c r="H770" s="118">
        <v>104915</v>
      </c>
      <c r="I770" s="15">
        <f>E770*$I$2</f>
        <v>45578.575</v>
      </c>
      <c r="J770" s="15">
        <f>H770*$J$2</f>
        <v>83932</v>
      </c>
      <c r="K770" s="110">
        <f>ROUND(IF(IF(MIN(I770,J770)&lt;F770,MIN(I770,J770)-F770,MIN(I770,J770))&lt;0,0,IF(MIN(I770,J770)&lt;F770,MIN(I770,J770)-F770,MIN(I770,J770))),0)</f>
        <v>0</v>
      </c>
      <c r="L770" s="79">
        <v>45578.575</v>
      </c>
      <c r="M770" s="86">
        <f>ROUND(VLOOKUP(B770,גיליון1!A689:B1659,2,0),0)</f>
        <v>104916</v>
      </c>
      <c r="N770" s="108"/>
    </row>
    <row r="771" spans="1:14" ht="15.75">
      <c r="A771">
        <v>767</v>
      </c>
      <c r="B771" s="18">
        <v>580612778</v>
      </c>
      <c r="C771" s="18" t="s">
        <v>1023</v>
      </c>
      <c r="D771" s="13"/>
      <c r="E771" s="116"/>
      <c r="F771" s="116"/>
      <c r="G771" s="117"/>
      <c r="H771" s="118">
        <v>15145</v>
      </c>
      <c r="I771" s="15"/>
      <c r="J771" s="15"/>
      <c r="K771" s="110"/>
      <c r="L771" s="79"/>
      <c r="M771" s="86"/>
      <c r="N771" s="108"/>
    </row>
    <row r="772" spans="1:14" ht="15.75">
      <c r="A772" s="3">
        <v>768</v>
      </c>
      <c r="B772" s="12">
        <v>580613685</v>
      </c>
      <c r="C772" s="13" t="s">
        <v>244</v>
      </c>
      <c r="D772" s="13" t="s">
        <v>64</v>
      </c>
      <c r="E772" s="116">
        <v>27695</v>
      </c>
      <c r="F772" s="116">
        <v>19387</v>
      </c>
      <c r="G772" s="117">
        <f>F772/E772</f>
        <v>0.700018053800325</v>
      </c>
      <c r="H772" s="118">
        <v>49230</v>
      </c>
      <c r="I772" s="15">
        <f>E772*$I$2</f>
        <v>19386.5</v>
      </c>
      <c r="J772" s="15">
        <f>H772*$J$2</f>
        <v>39384</v>
      </c>
      <c r="K772" s="110">
        <f>ROUND(IF(IF(MIN(I772,J772)&lt;F772,MIN(I772,J772)-F772,MIN(I772,J772))&lt;0,0,IF(MIN(I772,J772)&lt;F772,MIN(I772,J772)-F772,MIN(I772,J772))),0)</f>
        <v>0</v>
      </c>
      <c r="L772" s="79">
        <v>19386.5</v>
      </c>
      <c r="M772" s="86">
        <f>ROUND(VLOOKUP(B772,גיליון1!A690:B1660,2,0),0)</f>
        <v>49229</v>
      </c>
      <c r="N772" s="108"/>
    </row>
    <row r="773" spans="1:14" ht="15.75">
      <c r="A773">
        <v>769</v>
      </c>
      <c r="B773" s="12">
        <v>580614386</v>
      </c>
      <c r="C773" s="13" t="s">
        <v>669</v>
      </c>
      <c r="D773" s="13" t="s">
        <v>64</v>
      </c>
      <c r="E773" s="116">
        <v>30084</v>
      </c>
      <c r="F773" s="116">
        <v>15042</v>
      </c>
      <c r="G773" s="117">
        <f>F773/E773</f>
        <v>0.5</v>
      </c>
      <c r="H773" s="118">
        <v>45045</v>
      </c>
      <c r="I773" s="15">
        <f>E773*$I$2</f>
        <v>21058.8</v>
      </c>
      <c r="J773" s="15">
        <f>H773*$J$2</f>
        <v>36036</v>
      </c>
      <c r="K773" s="110">
        <f>ROUND(IF(IF(MIN(I773,J773)&lt;F773,MIN(I773,J773)-F773,MIN(I773,J773))&lt;0,0,IF(MIN(I773,J773)&lt;F773,MIN(I773,J773)-F773,MIN(I773,J773))),0)</f>
        <v>21059</v>
      </c>
      <c r="L773" s="79">
        <v>15042</v>
      </c>
      <c r="M773" s="86">
        <f>ROUND(VLOOKUP(B773,גיליון1!A691:B1661,2,0),0)</f>
        <v>45045</v>
      </c>
      <c r="N773" s="108"/>
    </row>
    <row r="774" spans="1:14" ht="15.75">
      <c r="A774" s="3">
        <v>770</v>
      </c>
      <c r="B774" s="12">
        <v>580614907</v>
      </c>
      <c r="C774" s="13" t="s">
        <v>650</v>
      </c>
      <c r="D774" s="13" t="s">
        <v>56</v>
      </c>
      <c r="E774" s="116">
        <v>55390</v>
      </c>
      <c r="F774" s="116">
        <v>38773</v>
      </c>
      <c r="G774" s="117">
        <f>F774/E774</f>
        <v>0.7</v>
      </c>
      <c r="H774" s="118">
        <v>136691</v>
      </c>
      <c r="I774" s="15">
        <f>E774*$I$2</f>
        <v>38773</v>
      </c>
      <c r="J774" s="15">
        <f>H774*$J$2</f>
        <v>109352.8</v>
      </c>
      <c r="K774" s="110">
        <f>ROUND(IF(IF(MIN(I774,J774)&lt;F774,MIN(I774,J774)-F774,MIN(I774,J774))&lt;0,0,IF(MIN(I774,J774)&lt;F774,MIN(I774,J774)-F774,MIN(I774,J774))),0)</f>
        <v>38773</v>
      </c>
      <c r="L774" s="79">
        <v>38773</v>
      </c>
      <c r="M774" s="86">
        <f>ROUND(VLOOKUP(B774,גיליון1!A692:B1662,2,0),0)</f>
        <v>136688</v>
      </c>
      <c r="N774" s="108"/>
    </row>
    <row r="775" spans="1:14" ht="15.75">
      <c r="A775">
        <v>771</v>
      </c>
      <c r="B775" s="18">
        <v>580616118</v>
      </c>
      <c r="C775" s="18" t="s">
        <v>1113</v>
      </c>
      <c r="D775" s="13"/>
      <c r="E775" s="116"/>
      <c r="F775" s="116"/>
      <c r="G775" s="117"/>
      <c r="H775" s="118">
        <v>9506</v>
      </c>
      <c r="I775" s="15"/>
      <c r="J775" s="15"/>
      <c r="K775" s="110"/>
      <c r="L775" s="79"/>
      <c r="M775" s="86"/>
      <c r="N775" s="108"/>
    </row>
    <row r="776" spans="1:14" ht="15.75">
      <c r="A776" s="3">
        <v>772</v>
      </c>
      <c r="B776" s="12">
        <v>580616860</v>
      </c>
      <c r="C776" s="13" t="s">
        <v>505</v>
      </c>
      <c r="D776" s="13" t="s">
        <v>59</v>
      </c>
      <c r="E776" s="116">
        <v>7163</v>
      </c>
      <c r="F776" s="116">
        <v>2865</v>
      </c>
      <c r="G776" s="117">
        <f>F776/E776</f>
        <v>0.399972078737959</v>
      </c>
      <c r="H776" s="118">
        <v>21800</v>
      </c>
      <c r="I776" s="15">
        <f>E776*$I$2</f>
        <v>5014.099999999999</v>
      </c>
      <c r="J776" s="15">
        <f>H776*$J$2</f>
        <v>17440</v>
      </c>
      <c r="K776" s="110">
        <f>ROUND(IF(IF(MIN(I776,J776)&lt;F776,MIN(I776,J776)-F776,MIN(I776,J776))&lt;0,0,IF(MIN(I776,J776)&lt;F776,MIN(I776,J776)-F776,MIN(I776,J776))),0)</f>
        <v>5014</v>
      </c>
      <c r="L776" s="79">
        <v>2865.2</v>
      </c>
      <c r="M776" s="86">
        <f>ROUND(VLOOKUP(B776,גיליון1!A693:B1663,2,0),0)</f>
        <v>21800</v>
      </c>
      <c r="N776" s="108"/>
    </row>
    <row r="777" spans="1:14" ht="15.75">
      <c r="A777">
        <v>773</v>
      </c>
      <c r="B777" s="12">
        <v>580618122</v>
      </c>
      <c r="C777" s="13" t="s">
        <v>482</v>
      </c>
      <c r="D777" s="13" t="s">
        <v>64</v>
      </c>
      <c r="E777" s="116">
        <v>355721</v>
      </c>
      <c r="F777" s="116">
        <v>249005</v>
      </c>
      <c r="G777" s="117">
        <f>F777/E777</f>
        <v>0.7000008433575752</v>
      </c>
      <c r="H777" s="118">
        <f>427789+97291</f>
        <v>525080</v>
      </c>
      <c r="I777" s="15">
        <f>E777*$I$2</f>
        <v>249004.69999999998</v>
      </c>
      <c r="J777" s="15">
        <f>H777*$J$2</f>
        <v>420064</v>
      </c>
      <c r="K777" s="110">
        <f>ROUND(IF(IF(MIN(I777,J777)&lt;F777,MIN(I777,J777)-F777,MIN(I777,J777))&lt;0,0,IF(MIN(I777,J777)&lt;F777,MIN(I777,J777)-F777,MIN(I777,J777))),0)</f>
        <v>0</v>
      </c>
      <c r="L777" s="79">
        <v>249004.69999999998</v>
      </c>
      <c r="M777" s="86">
        <f>ROUND(VLOOKUP(B777,גיליון1!A694:B1664,2,0),0)</f>
        <v>427786</v>
      </c>
      <c r="N777" s="108"/>
    </row>
    <row r="778" spans="1:14" ht="15.75">
      <c r="A778" s="3">
        <v>774</v>
      </c>
      <c r="B778" s="128">
        <v>580621241</v>
      </c>
      <c r="C778" s="120" t="s">
        <v>1090</v>
      </c>
      <c r="D778" s="13"/>
      <c r="E778" s="116">
        <v>10863</v>
      </c>
      <c r="F778" s="116">
        <v>5431</v>
      </c>
      <c r="G778" s="117"/>
      <c r="H778" s="118">
        <v>38494</v>
      </c>
      <c r="I778" s="15"/>
      <c r="J778" s="15"/>
      <c r="K778" s="110"/>
      <c r="L778" s="79"/>
      <c r="M778" s="86"/>
      <c r="N778" s="108"/>
    </row>
    <row r="779" spans="1:14" ht="15.75">
      <c r="A779">
        <v>775</v>
      </c>
      <c r="B779" s="13">
        <v>580621910</v>
      </c>
      <c r="C779" s="13" t="s">
        <v>245</v>
      </c>
      <c r="D779" s="13" t="s">
        <v>70</v>
      </c>
      <c r="E779" s="116">
        <v>14873.5</v>
      </c>
      <c r="F779" s="116">
        <v>10411</v>
      </c>
      <c r="G779" s="117">
        <f>F779/E779</f>
        <v>0.6999697448482199</v>
      </c>
      <c r="H779" s="118">
        <v>23617</v>
      </c>
      <c r="I779" s="15">
        <f>E779*$I$2</f>
        <v>10411.449999999999</v>
      </c>
      <c r="J779" s="15">
        <f>H779*$J$2</f>
        <v>18893.600000000002</v>
      </c>
      <c r="K779" s="110">
        <f>ROUND(IF(IF(MIN(I779,J779)&lt;F779,MIN(I779,J779)-F779,MIN(I779,J779))&lt;0,0,IF(MIN(I779,J779)&lt;F779,MIN(I779,J779)-F779,MIN(I779,J779))),0)</f>
        <v>10411</v>
      </c>
      <c r="L779" s="79">
        <v>10411.449999999999</v>
      </c>
      <c r="M779" s="86">
        <f>ROUND(VLOOKUP(B779,גיליון1!A695:B1665,2,0),0)</f>
        <v>23617</v>
      </c>
      <c r="N779" s="108"/>
    </row>
    <row r="780" spans="1:14" ht="15.75">
      <c r="A780" s="3">
        <v>776</v>
      </c>
      <c r="B780" s="13">
        <v>580624765</v>
      </c>
      <c r="C780" s="13" t="s">
        <v>1114</v>
      </c>
      <c r="D780" s="13"/>
      <c r="E780" s="116"/>
      <c r="F780" s="116"/>
      <c r="G780" s="117"/>
      <c r="H780" s="118">
        <v>47658</v>
      </c>
      <c r="I780" s="15"/>
      <c r="J780" s="15"/>
      <c r="K780" s="110"/>
      <c r="L780" s="79"/>
      <c r="M780" s="86"/>
      <c r="N780" s="108"/>
    </row>
    <row r="781" spans="1:14" ht="15.75">
      <c r="A781">
        <v>777</v>
      </c>
      <c r="B781" s="18">
        <v>580625739</v>
      </c>
      <c r="C781" s="18" t="s">
        <v>1115</v>
      </c>
      <c r="D781" s="13"/>
      <c r="E781" s="116"/>
      <c r="F781" s="116"/>
      <c r="G781" s="117"/>
      <c r="H781" s="118">
        <v>10900</v>
      </c>
      <c r="I781" s="15"/>
      <c r="J781" s="15"/>
      <c r="K781" s="110"/>
      <c r="L781" s="79"/>
      <c r="M781" s="86"/>
      <c r="N781" s="108"/>
    </row>
    <row r="782" spans="1:14" ht="15.75">
      <c r="A782" s="3">
        <v>778</v>
      </c>
      <c r="B782" s="18">
        <v>580628659</v>
      </c>
      <c r="C782" s="18" t="s">
        <v>1030</v>
      </c>
      <c r="D782" s="13"/>
      <c r="E782" s="116"/>
      <c r="F782" s="116"/>
      <c r="G782" s="117"/>
      <c r="H782" s="118">
        <v>17177</v>
      </c>
      <c r="I782" s="15"/>
      <c r="J782" s="15"/>
      <c r="K782" s="110"/>
      <c r="L782" s="79"/>
      <c r="M782" s="86"/>
      <c r="N782" s="108"/>
    </row>
    <row r="783" spans="1:14" ht="15.75">
      <c r="A783">
        <v>779</v>
      </c>
      <c r="B783" s="12">
        <v>580629962</v>
      </c>
      <c r="C783" s="13" t="s">
        <v>1031</v>
      </c>
      <c r="D783" s="13"/>
      <c r="E783" s="116"/>
      <c r="F783" s="116"/>
      <c r="G783" s="117"/>
      <c r="H783" s="118">
        <v>153364</v>
      </c>
      <c r="I783" s="15"/>
      <c r="J783" s="15"/>
      <c r="K783" s="110"/>
      <c r="L783" s="79"/>
      <c r="M783" s="86"/>
      <c r="N783" s="108"/>
    </row>
    <row r="784" spans="1:14" ht="15.75">
      <c r="A784" s="3">
        <v>780</v>
      </c>
      <c r="B784" s="12">
        <v>580630234</v>
      </c>
      <c r="C784" s="13" t="s">
        <v>483</v>
      </c>
      <c r="D784" s="17" t="s">
        <v>59</v>
      </c>
      <c r="E784" s="116">
        <v>202850</v>
      </c>
      <c r="F784" s="116">
        <v>141995</v>
      </c>
      <c r="G784" s="117">
        <f aca="true" t="shared" si="162" ref="G784:G789">F784/E784</f>
        <v>0.7</v>
      </c>
      <c r="H784" s="118">
        <v>256796</v>
      </c>
      <c r="I784" s="15">
        <f aca="true" t="shared" si="163" ref="I784:I789">E784*$I$2</f>
        <v>141995</v>
      </c>
      <c r="J784" s="15">
        <f aca="true" t="shared" si="164" ref="J784:J789">H784*$J$2</f>
        <v>205436.80000000002</v>
      </c>
      <c r="K784" s="110">
        <f aca="true" t="shared" si="165" ref="K784:K789">ROUND(IF(IF(MIN(I784,J784)&lt;F784,MIN(I784,J784)-F784,MIN(I784,J784))&lt;0,0,IF(MIN(I784,J784)&lt;F784,MIN(I784,J784)-F784,MIN(I784,J784))),0)</f>
        <v>141995</v>
      </c>
      <c r="L784" s="79">
        <v>141995</v>
      </c>
      <c r="M784" s="86">
        <f>ROUND(VLOOKUP(B784,גיליון1!A696:B1666,2,0),0)</f>
        <v>256792</v>
      </c>
      <c r="N784" s="108"/>
    </row>
    <row r="785" spans="1:14" ht="15.75">
      <c r="A785">
        <v>781</v>
      </c>
      <c r="B785" s="12">
        <v>580630622</v>
      </c>
      <c r="C785" s="13" t="s">
        <v>246</v>
      </c>
      <c r="D785" s="17" t="s">
        <v>59</v>
      </c>
      <c r="E785" s="116">
        <v>95643.48343365756</v>
      </c>
      <c r="F785" s="116">
        <v>66950</v>
      </c>
      <c r="G785" s="117">
        <f t="shared" si="162"/>
        <v>0.699995416273597</v>
      </c>
      <c r="H785" s="118">
        <v>111358</v>
      </c>
      <c r="I785" s="15">
        <f t="shared" si="163"/>
        <v>66950.43840356029</v>
      </c>
      <c r="J785" s="15">
        <f t="shared" si="164"/>
        <v>89086.40000000001</v>
      </c>
      <c r="K785" s="110">
        <f t="shared" si="165"/>
        <v>66950</v>
      </c>
      <c r="L785" s="79">
        <v>66950.43840356029</v>
      </c>
      <c r="M785" s="86">
        <f>ROUND(VLOOKUP(B785,גיליון1!A697:B1667,2,0),0)</f>
        <v>111358</v>
      </c>
      <c r="N785" s="108"/>
    </row>
    <row r="786" spans="1:14" ht="15.75">
      <c r="A786" s="3">
        <v>782</v>
      </c>
      <c r="B786" s="13">
        <v>580631513</v>
      </c>
      <c r="C786" s="13" t="s">
        <v>741</v>
      </c>
      <c r="D786" s="13" t="s">
        <v>70</v>
      </c>
      <c r="E786" s="116">
        <v>49713</v>
      </c>
      <c r="F786" s="116">
        <v>34799</v>
      </c>
      <c r="G786" s="117">
        <f t="shared" si="162"/>
        <v>0.6999979884537244</v>
      </c>
      <c r="H786" s="118">
        <v>72162</v>
      </c>
      <c r="I786" s="15">
        <f t="shared" si="163"/>
        <v>34799.1</v>
      </c>
      <c r="J786" s="15">
        <f t="shared" si="164"/>
        <v>57729.600000000006</v>
      </c>
      <c r="K786" s="110">
        <f t="shared" si="165"/>
        <v>34799</v>
      </c>
      <c r="L786" s="79">
        <v>34799.1</v>
      </c>
      <c r="M786" s="86">
        <f>ROUND(VLOOKUP(B786,גיליון1!A698:B1668,2,0),0)</f>
        <v>72160</v>
      </c>
      <c r="N786" s="108"/>
    </row>
    <row r="787" spans="1:14" ht="15.75">
      <c r="A787">
        <v>783</v>
      </c>
      <c r="B787" s="12">
        <v>580631802</v>
      </c>
      <c r="C787" s="18" t="s">
        <v>484</v>
      </c>
      <c r="D787" s="4" t="s">
        <v>56</v>
      </c>
      <c r="E787" s="116">
        <v>53576</v>
      </c>
      <c r="F787" s="116">
        <v>26788</v>
      </c>
      <c r="G787" s="117">
        <f t="shared" si="162"/>
        <v>0.5</v>
      </c>
      <c r="H787" s="118">
        <v>37157</v>
      </c>
      <c r="I787" s="15">
        <f t="shared" si="163"/>
        <v>37503.2</v>
      </c>
      <c r="J787" s="15">
        <f t="shared" si="164"/>
        <v>29725.600000000002</v>
      </c>
      <c r="K787" s="110">
        <f t="shared" si="165"/>
        <v>29726</v>
      </c>
      <c r="L787" s="79">
        <v>26788</v>
      </c>
      <c r="M787" s="86">
        <f>ROUND(VLOOKUP(B787,גיליון1!A699:B1669,2,0),0)</f>
        <v>37156</v>
      </c>
      <c r="N787" s="108"/>
    </row>
    <row r="788" spans="1:14" ht="15">
      <c r="A788" s="3">
        <v>784</v>
      </c>
      <c r="B788" s="18">
        <v>580632107</v>
      </c>
      <c r="C788" s="18" t="s">
        <v>247</v>
      </c>
      <c r="D788" s="4" t="s">
        <v>64</v>
      </c>
      <c r="E788" s="116">
        <v>39301</v>
      </c>
      <c r="F788" s="116">
        <v>27511</v>
      </c>
      <c r="G788" s="117">
        <f t="shared" si="162"/>
        <v>0.7000076333935523</v>
      </c>
      <c r="H788" s="118">
        <v>54366</v>
      </c>
      <c r="I788" s="15">
        <f t="shared" si="163"/>
        <v>27510.699999999997</v>
      </c>
      <c r="J788" s="15">
        <f t="shared" si="164"/>
        <v>43492.8</v>
      </c>
      <c r="K788" s="110">
        <f t="shared" si="165"/>
        <v>0</v>
      </c>
      <c r="L788" s="79">
        <v>27510.699999999997</v>
      </c>
      <c r="M788" s="86">
        <f>ROUND(VLOOKUP(B788,גיליון1!A700:B1670,2,0),0)</f>
        <v>54366</v>
      </c>
      <c r="N788" s="108"/>
    </row>
    <row r="789" spans="1:14" ht="15.75">
      <c r="A789">
        <v>785</v>
      </c>
      <c r="B789" s="12">
        <v>580632594</v>
      </c>
      <c r="C789" s="13" t="s">
        <v>422</v>
      </c>
      <c r="D789" s="17" t="s">
        <v>59</v>
      </c>
      <c r="E789" s="116">
        <v>86914.5</v>
      </c>
      <c r="F789" s="116">
        <v>43457</v>
      </c>
      <c r="G789" s="117">
        <f t="shared" si="162"/>
        <v>0.49999712360998455</v>
      </c>
      <c r="H789" s="118">
        <v>102995</v>
      </c>
      <c r="I789" s="15">
        <f t="shared" si="163"/>
        <v>60840.149999999994</v>
      </c>
      <c r="J789" s="15">
        <f t="shared" si="164"/>
        <v>82396</v>
      </c>
      <c r="K789" s="110">
        <f t="shared" si="165"/>
        <v>60840</v>
      </c>
      <c r="L789" s="79">
        <v>43457.25</v>
      </c>
      <c r="M789" s="86">
        <f>ROUND(VLOOKUP(B789,גיליון1!A701:B1671,2,0),0)</f>
        <v>102996</v>
      </c>
      <c r="N789" s="108"/>
    </row>
    <row r="790" spans="1:14" ht="15.75">
      <c r="A790" s="3">
        <v>786</v>
      </c>
      <c r="B790" s="132">
        <v>580634335</v>
      </c>
      <c r="C790" s="132" t="s">
        <v>1034</v>
      </c>
      <c r="D790" s="13"/>
      <c r="E790" s="116"/>
      <c r="F790" s="116"/>
      <c r="G790" s="117"/>
      <c r="H790" s="118">
        <v>71223</v>
      </c>
      <c r="I790" s="15"/>
      <c r="J790" s="15"/>
      <c r="K790" s="110"/>
      <c r="L790" s="79"/>
      <c r="M790" s="86"/>
      <c r="N790" s="108"/>
    </row>
    <row r="791" spans="1:14" ht="15">
      <c r="A791">
        <v>787</v>
      </c>
      <c r="B791" s="18">
        <v>580635027</v>
      </c>
      <c r="C791" s="18" t="s">
        <v>712</v>
      </c>
      <c r="D791" s="4" t="s">
        <v>64</v>
      </c>
      <c r="E791" s="116">
        <v>32261.25</v>
      </c>
      <c r="F791" s="116">
        <v>22583</v>
      </c>
      <c r="G791" s="117">
        <f>F791/E791</f>
        <v>0.7000038746173816</v>
      </c>
      <c r="H791" s="118">
        <v>71051</v>
      </c>
      <c r="I791" s="15">
        <f>E791*$I$2</f>
        <v>22582.875</v>
      </c>
      <c r="J791" s="15">
        <f>H791*$J$2</f>
        <v>56840.8</v>
      </c>
      <c r="K791" s="110">
        <f>ROUND(IF(IF(MIN(I791,J791)&lt;F791,MIN(I791,J791)-F791,MIN(I791,J791))&lt;0,0,IF(MIN(I791,J791)&lt;F791,MIN(I791,J791)-F791,MIN(I791,J791))),0)</f>
        <v>0</v>
      </c>
      <c r="L791" s="79">
        <v>22582.875</v>
      </c>
      <c r="M791" s="86">
        <f>ROUND(VLOOKUP(B791,גיליון1!A702:B1672,2,0),0)</f>
        <v>71050</v>
      </c>
      <c r="N791" s="108"/>
    </row>
    <row r="792" spans="1:14" ht="15.75">
      <c r="A792" s="3">
        <v>788</v>
      </c>
      <c r="B792" s="12">
        <v>580636264</v>
      </c>
      <c r="C792" s="12" t="s">
        <v>611</v>
      </c>
      <c r="D792" s="13" t="s">
        <v>64</v>
      </c>
      <c r="E792" s="116">
        <v>17736</v>
      </c>
      <c r="F792" s="116">
        <v>12415</v>
      </c>
      <c r="G792" s="117">
        <f>F792/E792</f>
        <v>0.6999887235002256</v>
      </c>
      <c r="H792" s="118">
        <v>21220</v>
      </c>
      <c r="I792" s="15">
        <f>E792*$I$2</f>
        <v>12415.199999999999</v>
      </c>
      <c r="J792" s="15">
        <f>H792*$J$2</f>
        <v>16976</v>
      </c>
      <c r="K792" s="110">
        <f>ROUND(IF(IF(MIN(I792,J792)&lt;F792,MIN(I792,J792)-F792,MIN(I792,J792))&lt;0,0,IF(MIN(I792,J792)&lt;F792,MIN(I792,J792)-F792,MIN(I792,J792))),0)</f>
        <v>12415</v>
      </c>
      <c r="L792" s="79">
        <v>12415.199999999999</v>
      </c>
      <c r="M792" s="86">
        <f>ROUND(VLOOKUP(B792,גיליון1!A703:B1673,2,0),0)</f>
        <v>21220</v>
      </c>
      <c r="N792" s="108"/>
    </row>
    <row r="793" spans="1:14" ht="15.75">
      <c r="A793">
        <v>789</v>
      </c>
      <c r="B793" s="60">
        <v>580636819</v>
      </c>
      <c r="C793" s="13" t="s">
        <v>756</v>
      </c>
      <c r="D793" s="13" t="s">
        <v>64</v>
      </c>
      <c r="E793" s="116">
        <v>31916</v>
      </c>
      <c r="F793" s="116">
        <v>17962</v>
      </c>
      <c r="G793" s="117">
        <f>F793/E793</f>
        <v>0.562789823286126</v>
      </c>
      <c r="H793" s="118">
        <v>22453</v>
      </c>
      <c r="I793" s="15">
        <f>E793*$I$2</f>
        <v>22341.199999999997</v>
      </c>
      <c r="J793" s="15">
        <f>H793*$J$2</f>
        <v>17962.4</v>
      </c>
      <c r="K793" s="110">
        <f>ROUND(IF(IF(MIN(I793,J793)&lt;F793,MIN(I793,J793)-F793,MIN(I793,J793))&lt;0,0,IF(MIN(I793,J793)&lt;F793,MIN(I793,J793)-F793,MIN(I793,J793))),0)</f>
        <v>17962</v>
      </c>
      <c r="L793" s="79">
        <v>17962.4</v>
      </c>
      <c r="M793" s="86">
        <f>ROUND(VLOOKUP(B793,גיליון1!A704:B1674,2,0),0)</f>
        <v>22453</v>
      </c>
      <c r="N793" s="108"/>
    </row>
    <row r="794" spans="1:14" ht="15">
      <c r="A794" s="3">
        <v>790</v>
      </c>
      <c r="B794" s="18">
        <v>580637601</v>
      </c>
      <c r="C794" s="18" t="s">
        <v>313</v>
      </c>
      <c r="D794" s="4" t="s">
        <v>56</v>
      </c>
      <c r="E794" s="116">
        <v>48871</v>
      </c>
      <c r="F794" s="116">
        <v>34210</v>
      </c>
      <c r="G794" s="117">
        <f>F794/E794</f>
        <v>0.7000061386098095</v>
      </c>
      <c r="H794" s="118">
        <v>57182</v>
      </c>
      <c r="I794" s="15">
        <f>E794*$I$2</f>
        <v>34209.7</v>
      </c>
      <c r="J794" s="15">
        <f>H794*$J$2</f>
        <v>45745.600000000006</v>
      </c>
      <c r="K794" s="110">
        <f>ROUND(IF(IF(MIN(I794,J794)&lt;F794,MIN(I794,J794)-F794,MIN(I794,J794))&lt;0,0,IF(MIN(I794,J794)&lt;F794,MIN(I794,J794)-F794,MIN(I794,J794))),0)</f>
        <v>0</v>
      </c>
      <c r="L794" s="79">
        <v>34209.7</v>
      </c>
      <c r="M794" s="86">
        <f>ROUND(VLOOKUP(B794,גיליון1!A705:B1675,2,0),0)</f>
        <v>57181</v>
      </c>
      <c r="N794" s="108"/>
    </row>
    <row r="795" spans="1:14" ht="15.75">
      <c r="A795">
        <v>791</v>
      </c>
      <c r="B795" s="12">
        <v>580638096</v>
      </c>
      <c r="C795" s="13" t="s">
        <v>580</v>
      </c>
      <c r="D795" s="13" t="s">
        <v>56</v>
      </c>
      <c r="E795" s="116">
        <v>66922.4</v>
      </c>
      <c r="F795" s="116">
        <v>46846</v>
      </c>
      <c r="G795" s="117">
        <f>F795/E795</f>
        <v>0.7000047816575616</v>
      </c>
      <c r="H795" s="118">
        <v>83744</v>
      </c>
      <c r="I795" s="15">
        <f>E795*$I$2</f>
        <v>46845.67999999999</v>
      </c>
      <c r="J795" s="15">
        <f>H795*$J$2</f>
        <v>66995.2</v>
      </c>
      <c r="K795" s="110">
        <f>ROUND(IF(IF(MIN(I795,J795)&lt;F795,MIN(I795,J795)-F795,MIN(I795,J795))&lt;0,0,IF(MIN(I795,J795)&lt;F795,MIN(I795,J795)-F795,MIN(I795,J795))),0)</f>
        <v>0</v>
      </c>
      <c r="L795" s="79">
        <v>46845.67999999999</v>
      </c>
      <c r="M795" s="86">
        <f>ROUND(VLOOKUP(B795,גיליון1!A706:B1676,2,0),0)</f>
        <v>83741</v>
      </c>
      <c r="N795" s="108"/>
    </row>
    <row r="796" spans="1:14" ht="15.75">
      <c r="A796" s="3">
        <v>792</v>
      </c>
      <c r="B796" s="18">
        <v>580638898</v>
      </c>
      <c r="C796" s="18" t="s">
        <v>1116</v>
      </c>
      <c r="D796" s="13"/>
      <c r="E796" s="116"/>
      <c r="F796" s="116"/>
      <c r="G796" s="117"/>
      <c r="H796" s="118">
        <v>10678</v>
      </c>
      <c r="I796" s="15"/>
      <c r="J796" s="15"/>
      <c r="K796" s="110"/>
      <c r="L796" s="79"/>
      <c r="M796" s="86"/>
      <c r="N796" s="108"/>
    </row>
    <row r="797" spans="1:14" ht="15.75">
      <c r="A797">
        <v>793</v>
      </c>
      <c r="B797" s="18">
        <v>580639656</v>
      </c>
      <c r="C797" s="18" t="s">
        <v>1117</v>
      </c>
      <c r="D797" s="13"/>
      <c r="E797" s="116"/>
      <c r="F797" s="116"/>
      <c r="G797" s="117"/>
      <c r="H797" s="118">
        <v>16954</v>
      </c>
      <c r="I797" s="15"/>
      <c r="J797" s="15"/>
      <c r="K797" s="110"/>
      <c r="L797" s="79"/>
      <c r="M797" s="86"/>
      <c r="N797" s="108"/>
    </row>
    <row r="798" spans="1:14" ht="15">
      <c r="A798" s="3">
        <v>794</v>
      </c>
      <c r="B798" s="18">
        <v>580641140</v>
      </c>
      <c r="C798" s="18" t="s">
        <v>314</v>
      </c>
      <c r="D798" s="4" t="s">
        <v>56</v>
      </c>
      <c r="E798" s="116">
        <v>17972</v>
      </c>
      <c r="F798" s="116">
        <v>12580</v>
      </c>
      <c r="G798" s="117">
        <f>F798/E798</f>
        <v>0.6999777431560205</v>
      </c>
      <c r="H798" s="118">
        <v>21297</v>
      </c>
      <c r="I798" s="15">
        <f>E798*$I$2</f>
        <v>12580.4</v>
      </c>
      <c r="J798" s="15">
        <f>H798*$J$2</f>
        <v>17037.600000000002</v>
      </c>
      <c r="K798" s="110">
        <f>ROUND(IF(IF(MIN(I798,J798)&lt;F798,MIN(I798,J798)-F798,MIN(I798,J798))&lt;0,0,IF(MIN(I798,J798)&lt;F798,MIN(I798,J798)-F798,MIN(I798,J798))),0)</f>
        <v>12580</v>
      </c>
      <c r="L798" s="79">
        <v>12580.4</v>
      </c>
      <c r="M798" s="86">
        <f>ROUND(VLOOKUP(B798,גיליון1!A707:B1677,2,0),0)</f>
        <v>21297</v>
      </c>
      <c r="N798" s="108"/>
    </row>
    <row r="799" spans="1:14" ht="15.75">
      <c r="A799">
        <v>795</v>
      </c>
      <c r="B799" s="12">
        <v>580641579</v>
      </c>
      <c r="C799" s="12" t="s">
        <v>1037</v>
      </c>
      <c r="D799" s="13"/>
      <c r="E799" s="116"/>
      <c r="F799" s="116"/>
      <c r="G799" s="117"/>
      <c r="H799" s="118">
        <v>69711</v>
      </c>
      <c r="I799" s="15"/>
      <c r="J799" s="15"/>
      <c r="K799" s="110"/>
      <c r="L799" s="79"/>
      <c r="M799" s="86"/>
      <c r="N799" s="108"/>
    </row>
    <row r="800" spans="1:14" ht="15.75">
      <c r="A800" s="3">
        <v>796</v>
      </c>
      <c r="B800" s="18">
        <v>580641892</v>
      </c>
      <c r="C800" s="18" t="s">
        <v>1038</v>
      </c>
      <c r="D800" s="13"/>
      <c r="E800" s="116"/>
      <c r="F800" s="116"/>
      <c r="G800" s="117"/>
      <c r="H800" s="118">
        <v>22453</v>
      </c>
      <c r="I800" s="15"/>
      <c r="J800" s="15"/>
      <c r="K800" s="110"/>
      <c r="L800" s="79"/>
      <c r="M800" s="86"/>
      <c r="N800" s="108"/>
    </row>
    <row r="801" spans="1:14" ht="15">
      <c r="A801">
        <v>797</v>
      </c>
      <c r="B801" s="18">
        <v>580642106</v>
      </c>
      <c r="C801" s="18" t="s">
        <v>248</v>
      </c>
      <c r="D801" s="4" t="s">
        <v>68</v>
      </c>
      <c r="E801" s="116">
        <v>67428</v>
      </c>
      <c r="F801" s="116">
        <v>47199.6</v>
      </c>
      <c r="G801" s="117">
        <f>F801/E801</f>
        <v>0.7</v>
      </c>
      <c r="H801" s="118">
        <v>79932</v>
      </c>
      <c r="I801" s="15">
        <f>E801*$I$2</f>
        <v>47199.6</v>
      </c>
      <c r="J801" s="15">
        <f>H801*$J$2</f>
        <v>63945.600000000006</v>
      </c>
      <c r="K801" s="110">
        <f>ROUND(IF(IF(MIN(I801,J801)&lt;F801,MIN(I801,J801)-F801,MIN(I801,J801))&lt;0,0,IF(MIN(I801,J801)&lt;F801,MIN(I801,J801)-F801,MIN(I801,J801))),0)</f>
        <v>47200</v>
      </c>
      <c r="L801" s="79">
        <v>47199.6</v>
      </c>
      <c r="M801" s="86">
        <f>ROUND(VLOOKUP(B801,גיליון1!A708:B1678,2,0),0)</f>
        <v>64307</v>
      </c>
      <c r="N801" s="108"/>
    </row>
    <row r="802" spans="1:14" ht="15.75">
      <c r="A802" s="3">
        <v>798</v>
      </c>
      <c r="B802" s="12">
        <v>580645166</v>
      </c>
      <c r="C802" s="13" t="s">
        <v>485</v>
      </c>
      <c r="D802" s="17" t="s">
        <v>59</v>
      </c>
      <c r="E802" s="116">
        <v>95153</v>
      </c>
      <c r="F802" s="116">
        <v>47577</v>
      </c>
      <c r="G802" s="117">
        <f>F802/E802</f>
        <v>0.5000052546950701</v>
      </c>
      <c r="H802" s="118">
        <v>73198</v>
      </c>
      <c r="I802" s="15">
        <f>E802*$I$2</f>
        <v>66607.09999999999</v>
      </c>
      <c r="J802" s="15">
        <f>H802*$J$2</f>
        <v>58558.4</v>
      </c>
      <c r="K802" s="110">
        <f>ROUND(IF(IF(MIN(I802,J802)&lt;F802,MIN(I802,J802)-F802,MIN(I802,J802))&lt;0,0,IF(MIN(I802,J802)&lt;F802,MIN(I802,J802)-F802,MIN(I802,J802))),0)</f>
        <v>58558</v>
      </c>
      <c r="L802" s="79">
        <v>47576.5</v>
      </c>
      <c r="M802" s="86">
        <f>ROUND(VLOOKUP(B802,גיליון1!A709:B1679,2,0),0)</f>
        <v>73198</v>
      </c>
      <c r="N802" s="108"/>
    </row>
    <row r="803" spans="1:14" ht="15.75">
      <c r="A803">
        <v>799</v>
      </c>
      <c r="B803" s="18">
        <v>580649291</v>
      </c>
      <c r="C803" s="18" t="s">
        <v>1118</v>
      </c>
      <c r="D803" s="13"/>
      <c r="E803" s="116"/>
      <c r="F803" s="116"/>
      <c r="G803" s="117"/>
      <c r="H803" s="118">
        <v>44966</v>
      </c>
      <c r="I803" s="15"/>
      <c r="J803" s="15"/>
      <c r="K803" s="110"/>
      <c r="L803" s="79"/>
      <c r="M803" s="86"/>
      <c r="N803" s="108"/>
    </row>
    <row r="804" spans="1:14" ht="15.75">
      <c r="A804" s="3">
        <v>800</v>
      </c>
      <c r="B804" s="18">
        <v>580649358</v>
      </c>
      <c r="C804" s="18" t="s">
        <v>1040</v>
      </c>
      <c r="D804" s="13"/>
      <c r="E804" s="116"/>
      <c r="F804" s="116"/>
      <c r="G804" s="117"/>
      <c r="H804" s="118">
        <v>74148</v>
      </c>
      <c r="I804" s="15"/>
      <c r="J804" s="15"/>
      <c r="K804" s="110"/>
      <c r="L804" s="79"/>
      <c r="M804" s="86"/>
      <c r="N804" s="108"/>
    </row>
    <row r="805" spans="1:14" ht="15.75">
      <c r="A805">
        <v>801</v>
      </c>
      <c r="B805" s="12">
        <v>580651925</v>
      </c>
      <c r="C805" s="12" t="s">
        <v>651</v>
      </c>
      <c r="D805" s="13" t="s">
        <v>56</v>
      </c>
      <c r="E805" s="116">
        <v>92845</v>
      </c>
      <c r="F805" s="116">
        <v>35462</v>
      </c>
      <c r="G805" s="117">
        <f>F805/E805</f>
        <v>0.3819484086380527</v>
      </c>
      <c r="H805" s="118">
        <v>47165</v>
      </c>
      <c r="I805" s="15">
        <f>E805*$I$2</f>
        <v>64991.49999999999</v>
      </c>
      <c r="J805" s="15">
        <f>H805*$J$2</f>
        <v>37732</v>
      </c>
      <c r="K805" s="110">
        <f>ROUND(IF(IF(MIN(I805,J805)&lt;F805,MIN(I805,J805)-F805,MIN(I805,J805))&lt;0,0,IF(MIN(I805,J805)&lt;F805,MIN(I805,J805)-F805,MIN(I805,J805))),0)</f>
        <v>37732</v>
      </c>
      <c r="L805" s="79">
        <v>35461.9</v>
      </c>
      <c r="M805" s="86">
        <f>ROUND(VLOOKUP(B805,גיליון1!A710:B1680,2,0),0)</f>
        <v>47165</v>
      </c>
      <c r="N805" s="108"/>
    </row>
    <row r="806" spans="1:14" ht="15.75">
      <c r="A806" s="3">
        <v>802</v>
      </c>
      <c r="B806" s="18">
        <v>580652600</v>
      </c>
      <c r="C806" s="18" t="s">
        <v>1042</v>
      </c>
      <c r="D806" s="13"/>
      <c r="E806" s="116"/>
      <c r="F806" s="116"/>
      <c r="G806" s="117"/>
      <c r="H806" s="118">
        <v>13725</v>
      </c>
      <c r="I806" s="15"/>
      <c r="J806" s="15"/>
      <c r="K806" s="110"/>
      <c r="L806" s="79"/>
      <c r="M806" s="86"/>
      <c r="N806" s="108"/>
    </row>
    <row r="807" spans="1:14" ht="15.75">
      <c r="A807">
        <v>803</v>
      </c>
      <c r="B807" s="12">
        <v>580654465</v>
      </c>
      <c r="C807" s="18" t="s">
        <v>487</v>
      </c>
      <c r="D807" s="4" t="s">
        <v>68</v>
      </c>
      <c r="E807" s="116">
        <v>53112.25</v>
      </c>
      <c r="F807" s="116">
        <v>26556</v>
      </c>
      <c r="G807" s="117">
        <f>F807/E807</f>
        <v>0.4999976464939821</v>
      </c>
      <c r="H807" s="118">
        <v>61247</v>
      </c>
      <c r="I807" s="15">
        <f>E807*$I$2</f>
        <v>37178.575</v>
      </c>
      <c r="J807" s="15">
        <f>H807*$J$2</f>
        <v>48997.600000000006</v>
      </c>
      <c r="K807" s="110">
        <f>ROUND(IF(IF(MIN(I807,J807)&lt;F807,MIN(I807,J807)-F807,MIN(I807,J807))&lt;0,0,IF(MIN(I807,J807)&lt;F807,MIN(I807,J807)-F807,MIN(I807,J807))),0)</f>
        <v>37179</v>
      </c>
      <c r="L807" s="79">
        <v>26556.125</v>
      </c>
      <c r="M807" s="86">
        <f>ROUND(VLOOKUP(B807,גיליון1!A711:B1681,2,0),0)</f>
        <v>61247</v>
      </c>
      <c r="N807" s="108"/>
    </row>
    <row r="808" spans="1:14" ht="15.75">
      <c r="A808" s="3">
        <v>804</v>
      </c>
      <c r="B808" s="12">
        <v>580659456</v>
      </c>
      <c r="C808" s="13" t="s">
        <v>581</v>
      </c>
      <c r="D808" s="13" t="s">
        <v>59</v>
      </c>
      <c r="E808" s="116">
        <f>176775+268388</f>
        <v>445163</v>
      </c>
      <c r="F808" s="116">
        <v>70710</v>
      </c>
      <c r="G808" s="117">
        <f>F808/E808</f>
        <v>0.15884069430747838</v>
      </c>
      <c r="H808" s="118">
        <f>104742+217856</f>
        <v>322598</v>
      </c>
      <c r="I808" s="15">
        <f>E808*$I$2</f>
        <v>311614.1</v>
      </c>
      <c r="J808" s="15">
        <f>H808*$J$2</f>
        <v>258078.40000000002</v>
      </c>
      <c r="K808" s="110">
        <f>ROUND(IF(IF(MIN(I808,J808)&lt;F808,MIN(I808,J808)-F808,MIN(I808,J808))&lt;0,0,IF(MIN(I808,J808)&lt;F808,MIN(I808,J808)-F808,MIN(I808,J808))),0)</f>
        <v>258078</v>
      </c>
      <c r="L808" s="79">
        <v>70710</v>
      </c>
      <c r="M808" s="86">
        <f>ROUND(VLOOKUP(B808,גיליון1!A712:B1682,2,0),0)</f>
        <v>104742</v>
      </c>
      <c r="N808" s="108"/>
    </row>
    <row r="809" spans="1:14" ht="15.75">
      <c r="A809">
        <v>805</v>
      </c>
      <c r="B809" s="12">
        <v>580666352</v>
      </c>
      <c r="C809" s="12" t="s">
        <v>1043</v>
      </c>
      <c r="D809" s="13"/>
      <c r="E809" s="116"/>
      <c r="F809" s="116"/>
      <c r="G809" s="117"/>
      <c r="H809" s="118">
        <v>24448</v>
      </c>
      <c r="I809" s="15"/>
      <c r="J809" s="15"/>
      <c r="K809" s="110"/>
      <c r="L809" s="79"/>
      <c r="M809" s="86"/>
      <c r="N809" s="108"/>
    </row>
    <row r="810" spans="1:14" ht="15.75">
      <c r="A810" s="3"/>
      <c r="B810" s="12"/>
      <c r="C810" s="13"/>
      <c r="D810" s="13"/>
      <c r="E810" s="116"/>
      <c r="F810" s="116"/>
      <c r="G810" s="117"/>
      <c r="H810" s="118"/>
      <c r="I810" s="15"/>
      <c r="J810" s="15"/>
      <c r="K810" s="110"/>
      <c r="L810" s="79"/>
      <c r="M810" s="86"/>
      <c r="N810" s="108"/>
    </row>
    <row r="811" spans="1:14" ht="15.75">
      <c r="A811" s="3"/>
      <c r="B811" s="12"/>
      <c r="C811" s="13"/>
      <c r="D811" s="13"/>
      <c r="E811" s="116"/>
      <c r="F811" s="116"/>
      <c r="G811" s="117"/>
      <c r="H811" s="118">
        <f>SUM(H5:H810)</f>
        <v>137459028</v>
      </c>
      <c r="I811" s="15"/>
      <c r="J811" s="15"/>
      <c r="K811" s="110"/>
      <c r="L811" s="79"/>
      <c r="M811" s="86"/>
      <c r="N811" s="108"/>
    </row>
    <row r="812" spans="1:14" ht="15.75">
      <c r="A812" s="3"/>
      <c r="B812" s="12"/>
      <c r="C812" s="13"/>
      <c r="D812" s="13"/>
      <c r="E812" s="116"/>
      <c r="F812" s="116"/>
      <c r="G812" s="117"/>
      <c r="H812" s="118">
        <v>24891993</v>
      </c>
      <c r="I812" s="15"/>
      <c r="J812" s="15"/>
      <c r="K812" s="110"/>
      <c r="L812" s="79"/>
      <c r="M812" s="86"/>
      <c r="N812" s="108"/>
    </row>
    <row r="813" spans="1:14" ht="15.75">
      <c r="A813" s="3"/>
      <c r="B813" s="12"/>
      <c r="C813" s="13"/>
      <c r="D813" s="13"/>
      <c r="E813" s="116"/>
      <c r="F813" s="116"/>
      <c r="G813" s="117"/>
      <c r="H813" s="118">
        <f>H811-H812</f>
        <v>112567035</v>
      </c>
      <c r="I813" s="15"/>
      <c r="J813" s="15"/>
      <c r="K813" s="110"/>
      <c r="L813" s="79"/>
      <c r="M813" s="86"/>
      <c r="N813" s="108"/>
    </row>
    <row r="814" spans="1:14" ht="15.75">
      <c r="A814" s="3"/>
      <c r="B814" s="12"/>
      <c r="C814" s="13"/>
      <c r="D814" s="13"/>
      <c r="E814" s="116"/>
      <c r="F814" s="116"/>
      <c r="G814" s="117"/>
      <c r="H814" s="118">
        <v>106788692.50179891</v>
      </c>
      <c r="I814" s="15"/>
      <c r="J814" s="15"/>
      <c r="K814" s="110"/>
      <c r="L814" s="79"/>
      <c r="M814" s="86"/>
      <c r="N814" s="108"/>
    </row>
    <row r="815" spans="1:14" ht="15.75">
      <c r="A815" s="3"/>
      <c r="B815" s="12"/>
      <c r="C815" s="13"/>
      <c r="D815" s="13"/>
      <c r="E815" s="116"/>
      <c r="F815" s="116"/>
      <c r="G815" s="117"/>
      <c r="H815" s="118">
        <f>H814-H813</f>
        <v>-5778342.498201087</v>
      </c>
      <c r="I815" s="15"/>
      <c r="J815" s="15"/>
      <c r="K815" s="110"/>
      <c r="L815" s="79"/>
      <c r="M815" s="86"/>
      <c r="N815" s="108"/>
    </row>
    <row r="816" spans="1:14" ht="15.75">
      <c r="A816" s="3"/>
      <c r="B816" s="12"/>
      <c r="C816" s="13"/>
      <c r="D816" s="13"/>
      <c r="E816" s="116"/>
      <c r="F816" s="116"/>
      <c r="G816" s="117"/>
      <c r="H816" s="118">
        <v>221663</v>
      </c>
      <c r="I816" s="15"/>
      <c r="J816" s="15"/>
      <c r="K816" s="110"/>
      <c r="L816" s="79"/>
      <c r="M816" s="86"/>
      <c r="N816" s="108"/>
    </row>
    <row r="817" spans="1:14" ht="15.75">
      <c r="A817" s="3"/>
      <c r="B817" s="12"/>
      <c r="C817" s="13"/>
      <c r="D817" s="13"/>
      <c r="E817" s="116"/>
      <c r="F817" s="116"/>
      <c r="G817" s="117"/>
      <c r="H817" s="118"/>
      <c r="I817" s="15"/>
      <c r="J817" s="15"/>
      <c r="K817" s="110"/>
      <c r="L817" s="79"/>
      <c r="M817" s="86"/>
      <c r="N817" s="108"/>
    </row>
    <row r="818" spans="1:14" ht="15.75">
      <c r="A818" s="3"/>
      <c r="B818" s="12"/>
      <c r="C818" s="13"/>
      <c r="D818" s="13"/>
      <c r="E818" s="116"/>
      <c r="F818" s="116"/>
      <c r="G818" s="117"/>
      <c r="H818" s="118"/>
      <c r="I818" s="15"/>
      <c r="J818" s="15"/>
      <c r="K818" s="110"/>
      <c r="L818" s="79"/>
      <c r="M818" s="86"/>
      <c r="N818" s="108"/>
    </row>
    <row r="819" spans="1:14" ht="15.75">
      <c r="A819" s="3"/>
      <c r="B819" s="12"/>
      <c r="C819" s="13"/>
      <c r="D819" s="13"/>
      <c r="E819" s="116"/>
      <c r="F819" s="116"/>
      <c r="G819" s="117"/>
      <c r="H819" s="118"/>
      <c r="I819" s="15"/>
      <c r="J819" s="15"/>
      <c r="K819" s="110"/>
      <c r="L819" s="79"/>
      <c r="M819" s="86"/>
      <c r="N819" s="108"/>
    </row>
    <row r="820" spans="1:14" ht="15.75">
      <c r="A820" s="3"/>
      <c r="B820" s="12"/>
      <c r="C820" s="13"/>
      <c r="D820" s="13"/>
      <c r="E820" s="116"/>
      <c r="F820" s="116"/>
      <c r="G820" s="117"/>
      <c r="H820" s="118"/>
      <c r="I820" s="15"/>
      <c r="J820" s="15"/>
      <c r="K820" s="110"/>
      <c r="L820" s="79"/>
      <c r="M820" s="86"/>
      <c r="N820" s="108"/>
    </row>
    <row r="821" spans="2:14" s="3" customFormat="1" ht="15.75">
      <c r="B821" s="111"/>
      <c r="C821" s="112"/>
      <c r="D821" s="4"/>
      <c r="E821" s="116"/>
      <c r="F821" s="113"/>
      <c r="G821" s="109"/>
      <c r="H821" s="113"/>
      <c r="I821" s="82"/>
      <c r="J821" s="82"/>
      <c r="K821" s="114"/>
      <c r="L821" s="79"/>
      <c r="M821" s="86"/>
      <c r="N821" s="108"/>
    </row>
    <row r="822" spans="2:14" s="3" customFormat="1" ht="15.75">
      <c r="B822" s="12"/>
      <c r="C822" s="13"/>
      <c r="D822" s="13"/>
      <c r="E822" s="116"/>
      <c r="F822" s="79"/>
      <c r="G822" s="80"/>
      <c r="H822" s="81"/>
      <c r="I822" s="82"/>
      <c r="J822" s="82"/>
      <c r="K822" s="115"/>
      <c r="L822" s="79"/>
      <c r="M822" s="86"/>
      <c r="N822" s="108"/>
    </row>
    <row r="823" spans="1:14" ht="15.75">
      <c r="A823">
        <v>696</v>
      </c>
      <c r="B823" s="88" t="s">
        <v>802</v>
      </c>
      <c r="C823" s="90" t="s">
        <v>803</v>
      </c>
      <c r="D823" s="1"/>
      <c r="E823" s="116"/>
      <c r="F823" s="89">
        <v>0</v>
      </c>
      <c r="G823" s="5">
        <f>_xlfn.IFERROR(F823/E823,"")</f>
      </c>
      <c r="H823" s="89">
        <v>96730</v>
      </c>
      <c r="I823" s="15">
        <f aca="true" t="shared" si="166" ref="I823:I833">E823*$I$2</f>
        <v>0</v>
      </c>
      <c r="J823" s="15">
        <f aca="true" t="shared" si="167" ref="J823:J833">H823*$J$2</f>
        <v>77384</v>
      </c>
      <c r="K823" s="87">
        <f aca="true" t="shared" si="168" ref="K823:K833">ROUND(IF(IF(MIN(I823,J823)&lt;F823,MIN(I823,J823)-F823,MIN(I823,J823))&lt;0,0,IF(MIN(I823,J823)&lt;F823,MIN(I823,J823)-F823,MIN(I823,J823))),0)</f>
        <v>0</v>
      </c>
      <c r="L823" s="79" t="s">
        <v>807</v>
      </c>
      <c r="M823" s="86" t="e">
        <f>ROUND(VLOOKUP(B823,גיליון1!A713:B1683,2,0),0)</f>
        <v>#N/A</v>
      </c>
      <c r="N823" s="108"/>
    </row>
    <row r="824" spans="1:14" ht="15.75">
      <c r="A824" s="97">
        <v>81</v>
      </c>
      <c r="B824" s="47">
        <v>580160513</v>
      </c>
      <c r="C824" s="99" t="s">
        <v>495</v>
      </c>
      <c r="D824" s="99" t="s">
        <v>68</v>
      </c>
      <c r="E824" s="50">
        <v>942.5</v>
      </c>
      <c r="F824" s="50">
        <v>471</v>
      </c>
      <c r="G824" s="98">
        <f aca="true" t="shared" si="169" ref="G824:G833">F824/E824</f>
        <v>0.4997347480106101</v>
      </c>
      <c r="H824" s="29" t="e">
        <v>#N/A</v>
      </c>
      <c r="I824" s="75">
        <f t="shared" si="166"/>
        <v>659.75</v>
      </c>
      <c r="J824" s="75" t="e">
        <f t="shared" si="167"/>
        <v>#N/A</v>
      </c>
      <c r="K824" s="91" t="e">
        <f t="shared" si="168"/>
        <v>#N/A</v>
      </c>
      <c r="L824" s="79">
        <v>471.25</v>
      </c>
      <c r="M824" s="86" t="e">
        <f>ROUND(VLOOKUP(B824,גיליון1!A83:B1053,2,0),0)</f>
        <v>#N/A</v>
      </c>
      <c r="N824" s="108"/>
    </row>
    <row r="825" spans="1:14" ht="15.75">
      <c r="A825" s="97">
        <v>86</v>
      </c>
      <c r="B825" s="47">
        <v>580170108</v>
      </c>
      <c r="C825" s="99" t="s">
        <v>497</v>
      </c>
      <c r="D825" s="99" t="s">
        <v>68</v>
      </c>
      <c r="E825" s="50">
        <v>23517.4</v>
      </c>
      <c r="F825" s="50">
        <v>11759</v>
      </c>
      <c r="G825" s="98">
        <f t="shared" si="169"/>
        <v>0.5000127565121995</v>
      </c>
      <c r="H825" s="29" t="e">
        <v>#N/A</v>
      </c>
      <c r="I825" s="75">
        <f t="shared" si="166"/>
        <v>16462.18</v>
      </c>
      <c r="J825" s="75" t="e">
        <f t="shared" si="167"/>
        <v>#N/A</v>
      </c>
      <c r="K825" s="91" t="e">
        <f t="shared" si="168"/>
        <v>#N/A</v>
      </c>
      <c r="L825" s="79">
        <v>11758.7</v>
      </c>
      <c r="M825" s="86" t="e">
        <f>ROUND(VLOOKUP(B825,גיליון1!A88:B1058,2,0),0)</f>
        <v>#N/A</v>
      </c>
      <c r="N825" s="108"/>
    </row>
    <row r="826" spans="1:14" ht="15.75">
      <c r="A826" s="97">
        <v>144</v>
      </c>
      <c r="B826" s="47">
        <v>580246957</v>
      </c>
      <c r="C826" s="48" t="s">
        <v>684</v>
      </c>
      <c r="D826" s="48" t="s">
        <v>56</v>
      </c>
      <c r="E826" s="50">
        <v>32156.25</v>
      </c>
      <c r="F826" s="50">
        <v>12863</v>
      </c>
      <c r="G826" s="98">
        <f t="shared" si="169"/>
        <v>0.40001554907677356</v>
      </c>
      <c r="H826" s="29" t="e">
        <v>#N/A</v>
      </c>
      <c r="I826" s="75">
        <f t="shared" si="166"/>
        <v>22509.375</v>
      </c>
      <c r="J826" s="75" t="e">
        <f t="shared" si="167"/>
        <v>#N/A</v>
      </c>
      <c r="K826" s="91" t="e">
        <f t="shared" si="168"/>
        <v>#N/A</v>
      </c>
      <c r="L826" s="79">
        <v>12862.5</v>
      </c>
      <c r="M826" s="86" t="e">
        <f>ROUND(VLOOKUP(B826,גיליון1!A146:B1116,2,0),0)</f>
        <v>#N/A</v>
      </c>
      <c r="N826" s="108"/>
    </row>
    <row r="827" spans="1:14" ht="15.75">
      <c r="A827" s="97">
        <v>178</v>
      </c>
      <c r="B827" s="100">
        <v>580281863</v>
      </c>
      <c r="C827" s="48" t="s">
        <v>748</v>
      </c>
      <c r="D827" s="48" t="s">
        <v>90</v>
      </c>
      <c r="E827" s="50">
        <v>29780</v>
      </c>
      <c r="F827" s="50">
        <v>14890</v>
      </c>
      <c r="G827" s="98">
        <f t="shared" si="169"/>
        <v>0.5</v>
      </c>
      <c r="H827" s="29" t="e">
        <v>#N/A</v>
      </c>
      <c r="I827" s="75">
        <f t="shared" si="166"/>
        <v>20846</v>
      </c>
      <c r="J827" s="75" t="e">
        <f t="shared" si="167"/>
        <v>#N/A</v>
      </c>
      <c r="K827" s="91" t="e">
        <f t="shared" si="168"/>
        <v>#N/A</v>
      </c>
      <c r="L827" s="79">
        <v>14890</v>
      </c>
      <c r="M827" s="86" t="e">
        <f>ROUND(VLOOKUP(B827,גיליון1!A181:B1151,2,0),0)</f>
        <v>#N/A</v>
      </c>
      <c r="N827" s="108"/>
    </row>
    <row r="828" spans="1:14" ht="15">
      <c r="A828" s="97">
        <v>183</v>
      </c>
      <c r="B828" s="101">
        <v>580288405</v>
      </c>
      <c r="C828" s="102" t="s">
        <v>123</v>
      </c>
      <c r="D828" s="102" t="s">
        <v>68</v>
      </c>
      <c r="E828" s="50">
        <v>12227.25</v>
      </c>
      <c r="F828" s="50">
        <v>6114</v>
      </c>
      <c r="G828" s="98">
        <f t="shared" si="169"/>
        <v>0.5000306692019874</v>
      </c>
      <c r="H828" s="29" t="e">
        <v>#N/A</v>
      </c>
      <c r="I828" s="75">
        <f t="shared" si="166"/>
        <v>8559.074999999999</v>
      </c>
      <c r="J828" s="75" t="e">
        <f t="shared" si="167"/>
        <v>#N/A</v>
      </c>
      <c r="K828" s="91" t="e">
        <f t="shared" si="168"/>
        <v>#N/A</v>
      </c>
      <c r="L828" s="79">
        <v>6113.625</v>
      </c>
      <c r="M828" s="86" t="e">
        <f>ROUND(VLOOKUP(B828,גיליון1!A186:B1156,2,0),0)</f>
        <v>#N/A</v>
      </c>
      <c r="N828" s="108"/>
    </row>
    <row r="829" spans="1:14" ht="15.75">
      <c r="A829" s="97">
        <v>399</v>
      </c>
      <c r="B829" s="47">
        <v>580421972</v>
      </c>
      <c r="C829" s="48" t="s">
        <v>289</v>
      </c>
      <c r="D829" s="49" t="s">
        <v>59</v>
      </c>
      <c r="E829" s="50">
        <v>21993</v>
      </c>
      <c r="F829" s="50">
        <v>10997</v>
      </c>
      <c r="G829" s="98">
        <f t="shared" si="169"/>
        <v>0.5000227345064339</v>
      </c>
      <c r="H829" s="29" t="e">
        <v>#N/A</v>
      </c>
      <c r="I829" s="75">
        <f t="shared" si="166"/>
        <v>15395.099999999999</v>
      </c>
      <c r="J829" s="75" t="e">
        <f t="shared" si="167"/>
        <v>#N/A</v>
      </c>
      <c r="K829" s="91" t="e">
        <f t="shared" si="168"/>
        <v>#N/A</v>
      </c>
      <c r="L829" s="79">
        <v>10996.5</v>
      </c>
      <c r="M829" s="86" t="e">
        <f>ROUND(VLOOKUP(B829,גיליון1!A403:B1373,2,0),0)</f>
        <v>#N/A</v>
      </c>
      <c r="N829" s="108"/>
    </row>
    <row r="830" spans="1:14" ht="15.75">
      <c r="A830" s="97">
        <v>443</v>
      </c>
      <c r="B830" s="47">
        <v>580446490</v>
      </c>
      <c r="C830" s="47" t="s">
        <v>638</v>
      </c>
      <c r="D830" s="48" t="s">
        <v>56</v>
      </c>
      <c r="E830" s="50">
        <v>26811</v>
      </c>
      <c r="F830" s="50">
        <v>13406</v>
      </c>
      <c r="G830" s="98">
        <f t="shared" si="169"/>
        <v>0.5000186490619521</v>
      </c>
      <c r="H830" s="29" t="e">
        <v>#N/A</v>
      </c>
      <c r="I830" s="75">
        <f t="shared" si="166"/>
        <v>18767.699999999997</v>
      </c>
      <c r="J830" s="75" t="e">
        <f t="shared" si="167"/>
        <v>#N/A</v>
      </c>
      <c r="K830" s="91" t="e">
        <f t="shared" si="168"/>
        <v>#N/A</v>
      </c>
      <c r="L830" s="79">
        <v>13405.500000000002</v>
      </c>
      <c r="M830" s="86" t="e">
        <f>ROUND(VLOOKUP(B830,גיליון1!A447:B1417,2,0),0)</f>
        <v>#N/A</v>
      </c>
      <c r="N830" s="108"/>
    </row>
    <row r="831" spans="1:14" ht="15.75">
      <c r="A831" s="97">
        <v>475</v>
      </c>
      <c r="B831" s="103">
        <v>580466050</v>
      </c>
      <c r="C831" s="48" t="s">
        <v>665</v>
      </c>
      <c r="D831" s="48" t="s">
        <v>64</v>
      </c>
      <c r="E831" s="50">
        <v>28665</v>
      </c>
      <c r="F831" s="50">
        <v>11466</v>
      </c>
      <c r="G831" s="98">
        <f t="shared" si="169"/>
        <v>0.4</v>
      </c>
      <c r="H831" s="29" t="e">
        <v>#N/A</v>
      </c>
      <c r="I831" s="75">
        <f t="shared" si="166"/>
        <v>20065.5</v>
      </c>
      <c r="J831" s="75" t="e">
        <f t="shared" si="167"/>
        <v>#N/A</v>
      </c>
      <c r="K831" s="91" t="e">
        <f t="shared" si="168"/>
        <v>#N/A</v>
      </c>
      <c r="L831" s="79">
        <v>11466</v>
      </c>
      <c r="M831" s="86" t="e">
        <f>ROUND(VLOOKUP(B831,גיליון1!A479:B1449,2,0),0)</f>
        <v>#N/A</v>
      </c>
      <c r="N831" s="108"/>
    </row>
    <row r="832" spans="1:14" ht="15">
      <c r="A832" s="97">
        <v>645</v>
      </c>
      <c r="B832" s="104">
        <v>580579258</v>
      </c>
      <c r="C832" s="102" t="s">
        <v>305</v>
      </c>
      <c r="D832" s="102" t="s">
        <v>68</v>
      </c>
      <c r="E832" s="50">
        <v>8655</v>
      </c>
      <c r="F832" s="50">
        <v>4328</v>
      </c>
      <c r="G832" s="98">
        <f t="shared" si="169"/>
        <v>0.5000577700751011</v>
      </c>
      <c r="H832" s="29" t="e">
        <v>#N/A</v>
      </c>
      <c r="I832" s="75">
        <f t="shared" si="166"/>
        <v>6058.5</v>
      </c>
      <c r="J832" s="75" t="e">
        <f t="shared" si="167"/>
        <v>#N/A</v>
      </c>
      <c r="K832" s="91" t="e">
        <f t="shared" si="168"/>
        <v>#N/A</v>
      </c>
      <c r="L832" s="79">
        <v>3812.1</v>
      </c>
      <c r="M832" s="86" t="e">
        <f>ROUND(VLOOKUP(B832,גיליון1!A649:B1619,2,0),0)</f>
        <v>#N/A</v>
      </c>
      <c r="N832" s="108"/>
    </row>
    <row r="833" spans="1:14" ht="15.75">
      <c r="A833" s="97">
        <v>37</v>
      </c>
      <c r="B833" s="47">
        <v>580007615</v>
      </c>
      <c r="C833" s="48" t="s">
        <v>492</v>
      </c>
      <c r="D833" s="48" t="s">
        <v>56</v>
      </c>
      <c r="E833" s="50">
        <v>9948</v>
      </c>
      <c r="F833" s="50">
        <v>4974</v>
      </c>
      <c r="G833" s="98">
        <f t="shared" si="169"/>
        <v>0.5</v>
      </c>
      <c r="H833" s="29" t="e">
        <v>#N/A</v>
      </c>
      <c r="I833" s="75">
        <f t="shared" si="166"/>
        <v>6963.599999999999</v>
      </c>
      <c r="J833" s="75" t="e">
        <f t="shared" si="167"/>
        <v>#N/A</v>
      </c>
      <c r="K833" s="91" t="e">
        <f t="shared" si="168"/>
        <v>#N/A</v>
      </c>
      <c r="L833" s="79">
        <v>4974</v>
      </c>
      <c r="M833" s="86" t="e">
        <f>ROUND(VLOOKUP(B833,גיליון1!A39:B1009,2,0),0)</f>
        <v>#N/A</v>
      </c>
      <c r="N833" s="108"/>
    </row>
    <row r="834" spans="1:14" ht="15.75">
      <c r="A834">
        <v>746</v>
      </c>
      <c r="B834" s="12"/>
      <c r="C834" s="13"/>
      <c r="D834" s="13"/>
      <c r="E834" s="6"/>
      <c r="F834" s="6"/>
      <c r="G834" s="7"/>
      <c r="H834" s="14"/>
      <c r="I834" s="15"/>
      <c r="J834" s="15"/>
      <c r="K834" s="85"/>
      <c r="L834" s="79"/>
      <c r="M834" s="86"/>
      <c r="N834" s="108"/>
    </row>
    <row r="835" spans="1:14" ht="15.75">
      <c r="A835" s="3">
        <v>747</v>
      </c>
      <c r="B835" s="12"/>
      <c r="C835" s="13"/>
      <c r="D835" s="13"/>
      <c r="E835" s="6"/>
      <c r="F835" s="6"/>
      <c r="G835" s="7"/>
      <c r="H835" s="14"/>
      <c r="I835" s="15"/>
      <c r="J835" s="15"/>
      <c r="K835" s="85"/>
      <c r="L835" s="79"/>
      <c r="M835" s="86"/>
      <c r="N835" s="108"/>
    </row>
    <row r="836" spans="1:14" ht="15.75">
      <c r="A836">
        <v>748</v>
      </c>
      <c r="B836" s="12"/>
      <c r="C836" s="13"/>
      <c r="D836" s="13"/>
      <c r="E836" s="6"/>
      <c r="F836" s="6"/>
      <c r="G836" s="7"/>
      <c r="H836" s="14"/>
      <c r="I836" s="15"/>
      <c r="J836" s="15"/>
      <c r="K836" s="85"/>
      <c r="L836" s="79"/>
      <c r="M836" s="86"/>
      <c r="N836" s="108"/>
    </row>
    <row r="837" spans="1:14" ht="15.75">
      <c r="A837">
        <v>749</v>
      </c>
      <c r="B837" s="12"/>
      <c r="C837" s="13"/>
      <c r="D837" s="13"/>
      <c r="E837" s="6"/>
      <c r="F837" s="6"/>
      <c r="G837" s="7"/>
      <c r="H837" s="14"/>
      <c r="I837" s="15"/>
      <c r="J837" s="15"/>
      <c r="K837" s="85"/>
      <c r="L837" s="79"/>
      <c r="M837" s="86"/>
      <c r="N837" s="108"/>
    </row>
    <row r="838" spans="1:14" ht="15.75">
      <c r="A838" s="3">
        <v>750</v>
      </c>
      <c r="B838" s="12"/>
      <c r="C838" s="13"/>
      <c r="D838" s="13"/>
      <c r="E838" s="6"/>
      <c r="F838" s="6"/>
      <c r="G838" s="7"/>
      <c r="H838" s="14"/>
      <c r="I838" s="15"/>
      <c r="J838" s="15"/>
      <c r="K838" s="85"/>
      <c r="L838" s="79"/>
      <c r="M838" s="86"/>
      <c r="N838" s="108"/>
    </row>
    <row r="839" spans="1:14" ht="15.75">
      <c r="A839">
        <v>751</v>
      </c>
      <c r="B839" s="12"/>
      <c r="C839" s="13"/>
      <c r="D839" s="13"/>
      <c r="E839" s="6"/>
      <c r="F839" s="6"/>
      <c r="G839" s="7"/>
      <c r="H839" s="14"/>
      <c r="I839" s="15"/>
      <c r="J839" s="15"/>
      <c r="K839" s="85"/>
      <c r="L839" s="79"/>
      <c r="M839" s="86"/>
      <c r="N839" s="108"/>
    </row>
    <row r="840" spans="1:14" ht="15.75">
      <c r="A840">
        <v>752</v>
      </c>
      <c r="B840" s="12"/>
      <c r="C840" s="13"/>
      <c r="D840" s="13"/>
      <c r="E840" s="6"/>
      <c r="F840" s="6"/>
      <c r="G840" s="7"/>
      <c r="H840" s="14"/>
      <c r="I840" s="15"/>
      <c r="J840" s="15"/>
      <c r="K840" s="85"/>
      <c r="L840" s="79"/>
      <c r="M840" s="86"/>
      <c r="N840" s="108"/>
    </row>
    <row r="841" spans="1:14" ht="15.75">
      <c r="A841" s="3">
        <v>753</v>
      </c>
      <c r="B841" s="12"/>
      <c r="C841" s="13"/>
      <c r="D841" s="13"/>
      <c r="E841" s="6"/>
      <c r="F841" s="6"/>
      <c r="G841" s="7"/>
      <c r="H841" s="14"/>
      <c r="I841" s="15"/>
      <c r="J841" s="15"/>
      <c r="K841" s="85"/>
      <c r="L841" s="79"/>
      <c r="M841" s="86"/>
      <c r="N841" s="108"/>
    </row>
    <row r="842" spans="1:14" ht="15.75">
      <c r="A842">
        <v>754</v>
      </c>
      <c r="B842" s="12"/>
      <c r="C842" s="13"/>
      <c r="D842" s="13"/>
      <c r="E842" s="6"/>
      <c r="F842" s="6"/>
      <c r="G842" s="7"/>
      <c r="H842" s="14"/>
      <c r="I842" s="15"/>
      <c r="J842" s="15"/>
      <c r="K842" s="85"/>
      <c r="L842" s="79"/>
      <c r="M842" s="86"/>
      <c r="N842" s="108"/>
    </row>
    <row r="843" spans="1:14" ht="15.75">
      <c r="A843" s="3">
        <v>755</v>
      </c>
      <c r="B843" s="12"/>
      <c r="C843" s="13"/>
      <c r="D843" s="13"/>
      <c r="E843" s="6"/>
      <c r="F843" s="6"/>
      <c r="G843" s="7"/>
      <c r="H843" s="14"/>
      <c r="I843" s="15"/>
      <c r="J843" s="15"/>
      <c r="K843" s="85"/>
      <c r="L843" s="79"/>
      <c r="M843" s="86"/>
      <c r="N843" s="108"/>
    </row>
    <row r="844" spans="1:14" ht="15.75">
      <c r="A844">
        <v>756</v>
      </c>
      <c r="B844" s="12"/>
      <c r="C844" s="13"/>
      <c r="D844" s="13"/>
      <c r="E844" s="6"/>
      <c r="F844" s="6"/>
      <c r="G844" s="7"/>
      <c r="H844" s="14"/>
      <c r="I844" s="15"/>
      <c r="J844" s="15"/>
      <c r="K844" s="85"/>
      <c r="L844" s="79"/>
      <c r="M844" s="86"/>
      <c r="N844" s="108"/>
    </row>
    <row r="845" spans="1:14" ht="15.75">
      <c r="A845">
        <v>757</v>
      </c>
      <c r="B845" s="12"/>
      <c r="C845" s="13"/>
      <c r="D845" s="13"/>
      <c r="E845" s="6"/>
      <c r="F845" s="6"/>
      <c r="G845" s="7"/>
      <c r="H845" s="14"/>
      <c r="I845" s="15"/>
      <c r="J845" s="15"/>
      <c r="K845" s="85"/>
      <c r="L845" s="79"/>
      <c r="M845" s="86"/>
      <c r="N845" s="108"/>
    </row>
    <row r="846" spans="1:14" ht="15.75">
      <c r="A846" s="3">
        <v>758</v>
      </c>
      <c r="B846" s="12"/>
      <c r="C846" s="13"/>
      <c r="D846" s="13"/>
      <c r="E846" s="6"/>
      <c r="F846" s="6"/>
      <c r="G846" s="7"/>
      <c r="H846" s="14"/>
      <c r="I846" s="15"/>
      <c r="J846" s="15"/>
      <c r="K846" s="85"/>
      <c r="L846" s="79"/>
      <c r="M846" s="86"/>
      <c r="N846" s="108"/>
    </row>
    <row r="847" spans="1:14" ht="15.75">
      <c r="A847">
        <v>759</v>
      </c>
      <c r="B847" s="12"/>
      <c r="C847" s="13"/>
      <c r="D847" s="13"/>
      <c r="E847" s="6"/>
      <c r="F847" s="6"/>
      <c r="G847" s="7"/>
      <c r="H847" s="14"/>
      <c r="I847" s="15"/>
      <c r="J847" s="15"/>
      <c r="K847" s="85"/>
      <c r="L847" s="79"/>
      <c r="M847" s="86"/>
      <c r="N847" s="108"/>
    </row>
    <row r="848" spans="1:14" ht="15.75">
      <c r="A848">
        <v>760</v>
      </c>
      <c r="B848" s="12"/>
      <c r="C848" s="13"/>
      <c r="D848" s="13"/>
      <c r="E848" s="6"/>
      <c r="F848" s="6"/>
      <c r="G848" s="7"/>
      <c r="H848" s="14"/>
      <c r="I848" s="15"/>
      <c r="J848" s="15"/>
      <c r="K848" s="85"/>
      <c r="L848" s="79"/>
      <c r="M848" s="86"/>
      <c r="N848" s="108"/>
    </row>
    <row r="849" spans="1:14" ht="18">
      <c r="A849" s="3">
        <v>761</v>
      </c>
      <c r="B849" s="12"/>
      <c r="C849" s="13"/>
      <c r="D849" s="13"/>
      <c r="E849" s="6"/>
      <c r="F849" s="6"/>
      <c r="G849" s="7"/>
      <c r="H849" s="14"/>
      <c r="I849" s="15"/>
      <c r="J849" s="15"/>
      <c r="K849" s="16"/>
      <c r="N849" s="108"/>
    </row>
    <row r="850" spans="4:14" ht="18">
      <c r="D850" s="3" t="s">
        <v>766</v>
      </c>
      <c r="E850" s="6"/>
      <c r="F850" s="6"/>
      <c r="G850" s="7"/>
      <c r="H850" s="14"/>
      <c r="I850" s="15"/>
      <c r="J850" s="15"/>
      <c r="K850" s="16"/>
      <c r="N850" s="108"/>
    </row>
    <row r="851" spans="5:11" ht="18">
      <c r="E851" s="6"/>
      <c r="F851" s="6"/>
      <c r="G851" s="7"/>
      <c r="H851" s="14"/>
      <c r="I851" s="15"/>
      <c r="J851" s="15"/>
      <c r="K851" s="16"/>
    </row>
    <row r="852" spans="2:11" ht="18">
      <c r="B852" s="3">
        <v>1001315576</v>
      </c>
      <c r="D852" s="64" t="s">
        <v>767</v>
      </c>
      <c r="E852" s="6"/>
      <c r="F852" s="6"/>
      <c r="G852" s="7"/>
      <c r="H852" s="65" t="e">
        <f>SUM(H5:H851)</f>
        <v>#N/A</v>
      </c>
      <c r="I852" s="15"/>
      <c r="J852" s="16" t="s">
        <v>768</v>
      </c>
      <c r="K852" s="16">
        <f>COUNTIF($K$5:$K$665,J852)</f>
        <v>0</v>
      </c>
    </row>
    <row r="853" spans="2:11" ht="18">
      <c r="B853" s="3">
        <v>1001315577</v>
      </c>
      <c r="D853" s="64" t="s">
        <v>769</v>
      </c>
      <c r="E853" s="6"/>
      <c r="F853" s="6"/>
      <c r="G853" s="7"/>
      <c r="H853" s="14"/>
      <c r="I853" s="15"/>
      <c r="J853" s="66" t="s">
        <v>770</v>
      </c>
      <c r="K853" s="16">
        <f>COUNTIF($K$5:$K$665,"&lt;0")</f>
        <v>0</v>
      </c>
    </row>
    <row r="854" spans="4:11" ht="18">
      <c r="D854" s="63" t="s">
        <v>771</v>
      </c>
      <c r="E854" s="6"/>
      <c r="F854" s="6"/>
      <c r="G854" s="7"/>
      <c r="H854" s="14"/>
      <c r="I854" s="15"/>
      <c r="J854" s="15"/>
      <c r="K854" s="16"/>
    </row>
    <row r="855" spans="4:11" ht="18">
      <c r="D855" s="63" t="s">
        <v>772</v>
      </c>
      <c r="E855" s="6"/>
      <c r="F855" s="6"/>
      <c r="G855" s="7"/>
      <c r="H855" s="14"/>
      <c r="I855" s="15"/>
      <c r="J855" s="15"/>
      <c r="K855" s="16">
        <f>SUMIF(K5:K665,"&lt;0",K5:K665)</f>
        <v>0</v>
      </c>
    </row>
    <row r="856" spans="5:11" ht="18">
      <c r="E856" s="6"/>
      <c r="F856" s="6"/>
      <c r="G856" s="7"/>
      <c r="H856" s="14"/>
      <c r="I856" s="15"/>
      <c r="J856" s="15"/>
      <c r="K856" s="16"/>
    </row>
    <row r="857" spans="5:11" ht="18">
      <c r="E857" s="6"/>
      <c r="F857" s="6"/>
      <c r="G857" s="7"/>
      <c r="H857" s="14"/>
      <c r="I857" s="15"/>
      <c r="J857" s="15"/>
      <c r="K857" s="16"/>
    </row>
  </sheetData>
  <sheetProtection/>
  <autoFilter ref="A4:M809">
    <sortState ref="A5:M857">
      <sortCondition sortBy="value" ref="B5:B857"/>
    </sortState>
  </autoFilter>
  <conditionalFormatting sqref="B58">
    <cfRule type="duplicateValues" priority="22" dxfId="0">
      <formula>AND(COUNTIF($B$58:$B$58,B58)&gt;1,NOT(ISBLANK(B58)))</formula>
    </cfRule>
  </conditionalFormatting>
  <conditionalFormatting sqref="B116">
    <cfRule type="duplicateValues" priority="21" dxfId="0">
      <formula>AND(COUNTIF($B$116:$B$116,B116)&gt;1,NOT(ISBLANK(B116)))</formula>
    </cfRule>
  </conditionalFormatting>
  <conditionalFormatting sqref="B43">
    <cfRule type="duplicateValues" priority="20" dxfId="0">
      <formula>AND(COUNTIF($B$43:$B$43,B43)&gt;1,NOT(ISBLANK(B43)))</formula>
    </cfRule>
  </conditionalFormatting>
  <conditionalFormatting sqref="B485:B486">
    <cfRule type="duplicateValues" priority="19" dxfId="0">
      <formula>AND(COUNTIF($B$485:$B$486,B485)&gt;1,NOT(ISBLANK(B485)))</formula>
    </cfRule>
  </conditionalFormatting>
  <conditionalFormatting sqref="K5:K6 K8:K412 K414:K674 K681:K857">
    <cfRule type="cellIs" priority="17" dxfId="0" operator="lessThan">
      <formula>0</formula>
    </cfRule>
  </conditionalFormatting>
  <conditionalFormatting sqref="K5:K6 K8:K412 K414:K674 K681:K857">
    <cfRule type="containsText" priority="16" dxfId="1" operator="containsText" text="גוולעד">
      <formula>NOT(ISERROR(SEARCH("גוולעד",K5)))</formula>
    </cfRule>
  </conditionalFormatting>
  <conditionalFormatting sqref="B824:B848 B487:B665 B822 B5:B6 B8:B412 B414:B484">
    <cfRule type="duplicateValues" priority="27" dxfId="0">
      <formula>AND(COUNTIF($B$824:$B$848,B5)+COUNTIF($B$487:$B$665,B5)+COUNTIF($B$822:$B$822,B5)+COUNTIF($B$5:$B$6,B5)+COUNTIF($B$8:$B$412,B5)+COUNTIF($B$414:$B$484,B5)&gt;1,NOT(ISBLANK(B5)))</formula>
    </cfRule>
  </conditionalFormatting>
  <conditionalFormatting sqref="J852">
    <cfRule type="cellIs" priority="15" dxfId="0" operator="lessThan">
      <formula>0</formula>
    </cfRule>
  </conditionalFormatting>
  <conditionalFormatting sqref="J852">
    <cfRule type="containsText" priority="14" dxfId="1" operator="containsText" text="גוולעד">
      <formula>NOT(ISERROR(SEARCH("גוולעד",J852)))</formula>
    </cfRule>
  </conditionalFormatting>
  <conditionalFormatting sqref="B666">
    <cfRule type="duplicateValues" priority="12" dxfId="0">
      <formula>AND(COUNTIF($B$666:$B$666,B666)&gt;1,NOT(ISBLANK(B666)))</formula>
    </cfRule>
  </conditionalFormatting>
  <conditionalFormatting sqref="B666">
    <cfRule type="duplicateValues" priority="13" dxfId="0">
      <formula>AND(COUNTIF($B$666:$B$666,B666)&gt;1,NOT(ISBLANK(B666)))</formula>
    </cfRule>
  </conditionalFormatting>
  <conditionalFormatting sqref="B824:B828 B833 B44:B57 B5:B6 B59:B115 B117:B234 B8:B42">
    <cfRule type="duplicateValues" priority="100" dxfId="0">
      <formula>AND(COUNTIF($B$824:$B$828,B5)+COUNTIF($B$833:$B$833,B5)+COUNTIF($B$44:$B$57,B5)+COUNTIF($B$5:$B$6,B5)+COUNTIF($B$59:$B$115,B5)+COUNTIF($B$117:$B$234,B5)+COUNTIF($B$8:$B$42,B5)&gt;1,NOT(ISBLANK(B5)))</formula>
    </cfRule>
  </conditionalFormatting>
  <conditionalFormatting sqref="K675:K680">
    <cfRule type="cellIs" priority="9" dxfId="0" operator="lessThan">
      <formula>0</formula>
    </cfRule>
  </conditionalFormatting>
  <conditionalFormatting sqref="K675:K680">
    <cfRule type="containsText" priority="8" dxfId="1" operator="containsText" text="גוולעד">
      <formula>NOT(ISERROR(SEARCH("גוולעד",K675)))</formula>
    </cfRule>
  </conditionalFormatting>
  <conditionalFormatting sqref="K7">
    <cfRule type="cellIs" priority="5" dxfId="0" operator="lessThan">
      <formula>0</formula>
    </cfRule>
  </conditionalFormatting>
  <conditionalFormatting sqref="K7">
    <cfRule type="containsText" priority="4" dxfId="1" operator="containsText" text="גוולעד">
      <formula>NOT(ISERROR(SEARCH("גוולעד",K7)))</formula>
    </cfRule>
  </conditionalFormatting>
  <conditionalFormatting sqref="B7">
    <cfRule type="duplicateValues" priority="6" dxfId="0">
      <formula>AND(COUNTIF($B$7:$B$7,B7)&gt;1,NOT(ISBLANK(B7)))</formula>
    </cfRule>
  </conditionalFormatting>
  <conditionalFormatting sqref="B7">
    <cfRule type="duplicateValues" priority="7" dxfId="0">
      <formula>AND(COUNTIF($B$7:$B$7,B7)&gt;1,NOT(ISBLANK(B7)))</formula>
    </cfRule>
  </conditionalFormatting>
  <conditionalFormatting sqref="K413">
    <cfRule type="cellIs" priority="2" dxfId="0" operator="lessThan">
      <formula>0</formula>
    </cfRule>
  </conditionalFormatting>
  <conditionalFormatting sqref="K413">
    <cfRule type="containsText" priority="1" dxfId="1" operator="containsText" text="גוולעד">
      <formula>NOT(ISERROR(SEARCH("גוולעד",K413)))</formula>
    </cfRule>
  </conditionalFormatting>
  <conditionalFormatting sqref="B413">
    <cfRule type="duplicateValues" priority="3" dxfId="0">
      <formula>AND(COUNTIF($B$413:$B$413,B413)&gt;1,NOT(ISBLANK(B413)))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973"/>
  <sheetViews>
    <sheetView rightToLeft="1" zoomScalePageLayoutView="0" workbookViewId="0" topLeftCell="A1">
      <selection activeCell="C3" sqref="C3"/>
    </sheetView>
  </sheetViews>
  <sheetFormatPr defaultColWidth="9.140625" defaultRowHeight="12.75"/>
  <cols>
    <col min="1" max="1" width="10.00390625" style="0" bestFit="1" customWidth="1"/>
    <col min="2" max="2" width="11.28125" style="0" bestFit="1" customWidth="1"/>
    <col min="3" max="3" width="19.421875" style="0" customWidth="1"/>
    <col min="8" max="8" width="31.421875" style="0" bestFit="1" customWidth="1"/>
    <col min="9" max="9" width="25.421875" style="0" bestFit="1" customWidth="1"/>
    <col min="11" max="11" width="10.00390625" style="0" bestFit="1" customWidth="1"/>
    <col min="12" max="12" width="25.421875" style="0" bestFit="1" customWidth="1"/>
  </cols>
  <sheetData>
    <row r="2" spans="1:3" ht="12.75">
      <c r="A2" s="83" t="s">
        <v>797</v>
      </c>
      <c r="B2" s="83" t="s">
        <v>798</v>
      </c>
      <c r="C2" t="s">
        <v>811</v>
      </c>
    </row>
    <row r="3" spans="1:3" ht="12.75">
      <c r="A3" s="83">
        <v>500244272</v>
      </c>
      <c r="B3" s="84">
        <v>36079.95</v>
      </c>
      <c r="C3" t="e">
        <f>VLOOKUP(A3,גיליון2!$B$5:$C$1319,2,0)</f>
        <v>#N/A</v>
      </c>
    </row>
    <row r="4" spans="1:3" ht="12.75">
      <c r="A4" s="83">
        <v>510623721</v>
      </c>
      <c r="B4" s="84">
        <v>8781.8</v>
      </c>
      <c r="C4" t="e">
        <f>VLOOKUP(A4,גיליון2!$B$5:$C$1319,2,0)</f>
        <v>#N/A</v>
      </c>
    </row>
    <row r="5" spans="1:3" ht="12.75">
      <c r="A5" s="83">
        <v>510623812</v>
      </c>
      <c r="B5" s="84">
        <v>71224.29</v>
      </c>
      <c r="C5" t="e">
        <f>VLOOKUP(A5,גיליון2!$B$5:$C$1319,2,0)</f>
        <v>#N/A</v>
      </c>
    </row>
    <row r="6" spans="1:3" ht="12.75">
      <c r="A6" s="83">
        <v>510681968</v>
      </c>
      <c r="B6" s="84">
        <v>67573.87</v>
      </c>
      <c r="C6" t="str">
        <f>VLOOKUP(A6,גיליון2!$B$5:$C$1319,2,0)</f>
        <v>מכבי קרית ים מתנס</v>
      </c>
    </row>
    <row r="7" spans="1:3" ht="12.75">
      <c r="A7" s="83">
        <v>510685589</v>
      </c>
      <c r="B7" s="84">
        <v>13878.63</v>
      </c>
      <c r="C7" t="e">
        <f>VLOOKUP(A7,גיליון2!$B$5:$C$1319,2,0)</f>
        <v>#N/A</v>
      </c>
    </row>
    <row r="8" spans="1:3" ht="12.75">
      <c r="A8" s="83">
        <v>510823057</v>
      </c>
      <c r="B8" s="84">
        <v>8781.8</v>
      </c>
      <c r="C8" t="e">
        <f>VLOOKUP(A8,גיליון2!$B$5:$C$1319,2,0)</f>
        <v>#N/A</v>
      </c>
    </row>
    <row r="9" spans="1:3" ht="12.75">
      <c r="A9" s="83">
        <v>510978422</v>
      </c>
      <c r="B9" s="84">
        <v>35557</v>
      </c>
      <c r="C9" t="e">
        <f>VLOOKUP(A9,גיליון2!$B$5:$C$1319,2,0)</f>
        <v>#N/A</v>
      </c>
    </row>
    <row r="10" spans="1:3" ht="12.75">
      <c r="A10" s="83">
        <v>511602591</v>
      </c>
      <c r="B10" s="84">
        <v>90311.23</v>
      </c>
      <c r="C10" t="str">
        <f>VLOOKUP(A10,גיליון2!$B$5:$C$1319,2,0)</f>
        <v>כפר ורדים</v>
      </c>
    </row>
    <row r="11" spans="1:3" ht="12.75">
      <c r="A11" s="83">
        <v>511653354</v>
      </c>
      <c r="B11" s="84">
        <v>180504.71</v>
      </c>
      <c r="C11" t="e">
        <f>VLOOKUP(A11,גיליון2!$B$5:$C$1319,2,0)</f>
        <v>#N/A</v>
      </c>
    </row>
    <row r="12" spans="1:3" ht="12.75">
      <c r="A12" s="83">
        <v>511757486</v>
      </c>
      <c r="B12" s="84">
        <v>428218.58</v>
      </c>
      <c r="C12" t="str">
        <f>VLOOKUP(A12,גיליון2!$B$5:$C$1319,2,0)</f>
        <v>מכבי חיפה- כדורגל</v>
      </c>
    </row>
    <row r="13" spans="1:3" ht="12.75">
      <c r="A13" s="83">
        <v>511889867</v>
      </c>
      <c r="B13" s="84">
        <v>6539.77</v>
      </c>
      <c r="C13" t="e">
        <f>VLOOKUP(A13,גיליון2!$B$5:$C$1319,2,0)</f>
        <v>#N/A</v>
      </c>
    </row>
    <row r="14" spans="1:3" ht="12.75">
      <c r="A14" s="83">
        <v>512120841</v>
      </c>
      <c r="B14" s="84">
        <v>144765.22</v>
      </c>
      <c r="C14" t="str">
        <f>VLOOKUP(A14,גיליון2!$B$5:$C$1319,2,0)</f>
        <v>מכבי אלקטרה תל אביב</v>
      </c>
    </row>
    <row r="15" spans="1:3" ht="12.75">
      <c r="A15" s="83">
        <v>512158668</v>
      </c>
      <c r="B15" s="84">
        <v>316184.42</v>
      </c>
      <c r="C15" t="str">
        <f>VLOOKUP(A15,גיליון2!$B$5:$C$1319,2,0)</f>
        <v>החברה לפיתוח גני תקווה בע"מ</v>
      </c>
    </row>
    <row r="16" spans="1:3" ht="12.75">
      <c r="A16" s="83">
        <v>512339656</v>
      </c>
      <c r="B16" s="84">
        <v>222204.88</v>
      </c>
      <c r="C16" t="str">
        <f>VLOOKUP(A16,גיליון2!$B$5:$C$1319,2,0)</f>
        <v>החברה לפיתוח הכדוריד בפתח תקוה</v>
      </c>
    </row>
    <row r="17" spans="1:3" ht="12.75">
      <c r="A17" s="83">
        <v>512371717</v>
      </c>
      <c r="B17" s="84">
        <v>154507.72</v>
      </c>
      <c r="C17" t="str">
        <f>VLOOKUP(A17,גיליון2!$B$5:$C$1319,2,0)</f>
        <v>החברה לפיתוח הכדורגל בשכונות פתח תקווה</v>
      </c>
    </row>
    <row r="18" spans="1:3" ht="12.75">
      <c r="A18" s="83">
        <v>512390188</v>
      </c>
      <c r="B18" s="84">
        <v>3365.69</v>
      </c>
      <c r="C18" t="e">
        <f>VLOOKUP(A18,גיליון2!$B$5:$C$1319,2,0)</f>
        <v>#N/A</v>
      </c>
    </row>
    <row r="19" spans="1:3" ht="12.75">
      <c r="A19" s="83">
        <v>512390618</v>
      </c>
      <c r="B19" s="84">
        <v>77922.45</v>
      </c>
      <c r="C19" t="str">
        <f>VLOOKUP(A19,גיליון2!$B$5:$C$1319,2,0)</f>
        <v>עוצמה ג'ודוקאן כפר סבא</v>
      </c>
    </row>
    <row r="20" spans="1:3" ht="12.75">
      <c r="A20" s="83">
        <v>512390626</v>
      </c>
      <c r="B20" s="84">
        <v>35049.92</v>
      </c>
      <c r="C20" t="str">
        <f>VLOOKUP(A20,גיליון2!$B$5:$C$1319,2,0)</f>
        <v>עוצמה ג'ודוקאן מרכז פתח תקווה</v>
      </c>
    </row>
    <row r="21" spans="1:3" ht="12.75">
      <c r="A21" s="83">
        <v>512390675</v>
      </c>
      <c r="B21" s="84">
        <v>6467.54</v>
      </c>
      <c r="C21" t="str">
        <f>VLOOKUP(A21,גיליון2!$B$5:$C$1319,2,0)</f>
        <v>עוצמה ג'ודוקאן מרכז רעננה</v>
      </c>
    </row>
    <row r="22" spans="1:3" ht="12.75">
      <c r="A22" s="83">
        <v>512390683</v>
      </c>
      <c r="B22" s="84">
        <v>342097.62</v>
      </c>
      <c r="C22" t="str">
        <f>VLOOKUP(A22,גיליון2!$B$5:$C$1319,2,0)</f>
        <v>עצמה האתלט ראשון לציון</v>
      </c>
    </row>
    <row r="23" spans="1:3" ht="12.75">
      <c r="A23" s="83">
        <v>512390691</v>
      </c>
      <c r="B23" s="84">
        <v>13296.71</v>
      </c>
      <c r="C23" t="str">
        <f>VLOOKUP(A23,גיליון2!$B$5:$C$1319,2,0)</f>
        <v>עוצמה ג'ודוקאן ניפון רעות (חל"צ)</v>
      </c>
    </row>
    <row r="24" spans="1:3" ht="12.75">
      <c r="A24" s="83">
        <v>512505678</v>
      </c>
      <c r="B24" s="84">
        <v>225543.58</v>
      </c>
      <c r="C24" t="str">
        <f>VLOOKUP(A24,גיליון2!$B$5:$C$1319,2,0)</f>
        <v>ביתר תל אביב רמלה</v>
      </c>
    </row>
    <row r="25" spans="1:3" ht="12.75">
      <c r="A25" s="83">
        <v>512599895</v>
      </c>
      <c r="B25" s="84">
        <v>199009.05</v>
      </c>
      <c r="C25" t="str">
        <f>VLOOKUP(A25,גיליון2!$B$5:$C$1319,2,0)</f>
        <v>הפועל הרצליה בע"מ</v>
      </c>
    </row>
    <row r="26" spans="1:3" ht="12.75">
      <c r="A26" s="83">
        <v>512805367</v>
      </c>
      <c r="B26" s="84">
        <v>229558.69</v>
      </c>
      <c r="C26" t="str">
        <f>VLOOKUP(A26,גיליון2!$B$5:$C$1319,2,0)</f>
        <v>מכבי הרצליה</v>
      </c>
    </row>
    <row r="27" spans="1:3" ht="12.75">
      <c r="A27" s="83">
        <v>513134411</v>
      </c>
      <c r="B27" s="84">
        <v>383179.67</v>
      </c>
      <c r="C27" t="str">
        <f>VLOOKUP(A27,גיליון2!$B$5:$C$1319,2,0)</f>
        <v>עירוני קריית שמונה</v>
      </c>
    </row>
    <row r="28" spans="1:3" ht="12.75">
      <c r="A28" s="83">
        <v>513151456</v>
      </c>
      <c r="B28" s="84">
        <v>376720.62</v>
      </c>
      <c r="C28" t="str">
        <f>VLOOKUP(A28,גיליון2!$B$5:$C$1319,2,0)</f>
        <v>ביתר ירושלים</v>
      </c>
    </row>
    <row r="29" spans="1:3" ht="12.75">
      <c r="A29" s="83">
        <v>513275222</v>
      </c>
      <c r="B29" s="84">
        <v>55678.93</v>
      </c>
      <c r="C29" t="str">
        <f>VLOOKUP(A29,גיליון2!$B$5:$C$1319,2,0)</f>
        <v>בני השרון כדורסל בע"מ (בני הרצליה)</v>
      </c>
    </row>
    <row r="30" spans="1:3" ht="12.75">
      <c r="A30" s="83">
        <v>513444562</v>
      </c>
      <c r="B30" s="84">
        <v>144765.22</v>
      </c>
      <c r="C30" t="str">
        <f>VLOOKUP(A30,גיליון2!$B$5:$C$1319,2,0)</f>
        <v>הפועל גליל גלבוע</v>
      </c>
    </row>
    <row r="31" spans="1:3" ht="12.75">
      <c r="A31" s="83">
        <v>513590042</v>
      </c>
      <c r="B31" s="84">
        <v>327666.64</v>
      </c>
      <c r="C31" t="str">
        <f>VLOOKUP(A31,גיליון2!$B$5:$C$1319,2,0)</f>
        <v>הפועל חיפה</v>
      </c>
    </row>
    <row r="32" spans="1:3" ht="12.75">
      <c r="A32" s="83">
        <v>513692830</v>
      </c>
      <c r="B32" s="84">
        <v>163918.78</v>
      </c>
      <c r="C32" t="str">
        <f>VLOOKUP(A32,גיליון2!$B$5:$C$1319,2,0)</f>
        <v>דור העתיד קרית אונו</v>
      </c>
    </row>
    <row r="33" spans="1:3" ht="12.75">
      <c r="A33" s="83">
        <v>513698134</v>
      </c>
      <c r="B33" s="84">
        <v>217513.4</v>
      </c>
      <c r="C33" t="e">
        <f>VLOOKUP(A33,גיליון2!$B$5:$C$1319,2,0)</f>
        <v>#N/A</v>
      </c>
    </row>
    <row r="34" spans="1:3" ht="12.75">
      <c r="A34" s="83">
        <v>513739888</v>
      </c>
      <c r="B34" s="84">
        <v>128061.54</v>
      </c>
      <c r="C34" t="str">
        <f>VLOOKUP(A34,גיליון2!$B$5:$C$1319,2,0)</f>
        <v>הפועל מגדל ירושלים</v>
      </c>
    </row>
    <row r="35" spans="1:3" ht="12.75">
      <c r="A35" s="83">
        <v>513927541</v>
      </c>
      <c r="B35" s="84">
        <v>3567.57</v>
      </c>
      <c r="C35" t="e">
        <f>VLOOKUP(A35,גיליון2!$B$5:$C$1319,2,0)</f>
        <v>#N/A</v>
      </c>
    </row>
    <row r="36" spans="1:3" ht="12.75">
      <c r="A36" s="83">
        <v>513997569</v>
      </c>
      <c r="B36" s="84">
        <v>448468.61</v>
      </c>
      <c r="C36" t="str">
        <f>VLOOKUP(A36,גיליון2!$B$5:$C$1319,2,0)</f>
        <v>הפועל באר שבע</v>
      </c>
    </row>
    <row r="37" spans="1:3" ht="12.75">
      <c r="A37" s="83">
        <v>514010149</v>
      </c>
      <c r="B37" s="84">
        <v>128061.54</v>
      </c>
      <c r="C37" t="str">
        <f>VLOOKUP(A37,גיליון2!$B$5:$C$1319,2,0)</f>
        <v>מכבי חיפה כדורסל טריאנגל ג יוזמה</v>
      </c>
    </row>
    <row r="38" spans="1:3" ht="12.75">
      <c r="A38" s="83">
        <v>514490515</v>
      </c>
      <c r="B38" s="84">
        <v>256791.5</v>
      </c>
      <c r="C38" t="str">
        <f>VLOOKUP(A38,גיליון2!$B$5:$C$1319,2,0)</f>
        <v>הפועל רמת גן אסי</v>
      </c>
    </row>
    <row r="39" spans="1:3" ht="12.75">
      <c r="A39" s="83">
        <v>514712884</v>
      </c>
      <c r="B39" s="84">
        <v>71541.74</v>
      </c>
      <c r="C39" t="str">
        <f>VLOOKUP(A39,גיליון2!$B$5:$C$1319,2,0)</f>
        <v>מרה"ט תל אביב</v>
      </c>
    </row>
    <row r="40" spans="1:3" ht="12.75">
      <c r="A40" s="83">
        <v>514713197</v>
      </c>
      <c r="B40" s="84">
        <v>67913.86</v>
      </c>
      <c r="C40" t="str">
        <f>VLOOKUP(A40,גיליון2!$B$5:$C$1319,2,0)</f>
        <v>מרה"ט חיפה</v>
      </c>
    </row>
    <row r="41" spans="1:3" ht="12.75">
      <c r="A41" s="83">
        <v>514713361</v>
      </c>
      <c r="B41" s="84">
        <v>34423.37</v>
      </c>
      <c r="C41" t="str">
        <f>VLOOKUP(A41,גיליון2!$B$5:$C$1319,2,0)</f>
        <v>מרה"ט ירושלים</v>
      </c>
    </row>
    <row r="42" spans="1:3" ht="12.75">
      <c r="A42" s="83">
        <v>514841907</v>
      </c>
      <c r="B42" s="84">
        <v>133629.43</v>
      </c>
      <c r="C42" t="str">
        <f>VLOOKUP(A42,גיליון2!$B$5:$C$1319,2,0)</f>
        <v>בנות הרצליה כדורסל בע"מ</v>
      </c>
    </row>
    <row r="43" spans="1:3" ht="12.75">
      <c r="A43" s="83">
        <v>514904606</v>
      </c>
      <c r="B43" s="84">
        <v>5872.77</v>
      </c>
      <c r="C43" t="e">
        <f>VLOOKUP(A43,גיליון2!$B$5:$C$1319,2,0)</f>
        <v>#N/A</v>
      </c>
    </row>
    <row r="44" spans="1:3" ht="12.75">
      <c r="A44" s="83">
        <v>514918143</v>
      </c>
      <c r="B44" s="84">
        <v>4901.33</v>
      </c>
      <c r="C44" t="str">
        <f>VLOOKUP(A44,גיליון2!$B$5:$C$1319,2,0)</f>
        <v>הקרן למצוינות אולימפית בישראל בע"מ </v>
      </c>
    </row>
    <row r="45" spans="1:3" ht="12.75">
      <c r="A45" s="83">
        <v>514918705</v>
      </c>
      <c r="B45" s="84">
        <v>14304.12</v>
      </c>
      <c r="C45" t="e">
        <f>VLOOKUP(A45,גיליון2!$B$5:$C$1319,2,0)</f>
        <v>#N/A</v>
      </c>
    </row>
    <row r="46" spans="1:3" ht="12.75">
      <c r="A46" s="83">
        <v>514948637</v>
      </c>
      <c r="B46" s="84">
        <v>370261.56</v>
      </c>
      <c r="C46" t="str">
        <f>VLOOKUP(A46,גיליון2!$B$5:$C$1319,2,0)</f>
        <v>הפועל כפר סבא שלי</v>
      </c>
    </row>
    <row r="47" spans="1:3" ht="12.75">
      <c r="A47" s="83">
        <v>515007300</v>
      </c>
      <c r="B47" s="84">
        <v>10045.69</v>
      </c>
      <c r="C47" t="e">
        <f>VLOOKUP(A47,גיליון2!$B$5:$C$1319,2,0)</f>
        <v>#N/A</v>
      </c>
    </row>
    <row r="48" spans="1:3" ht="12.75">
      <c r="A48" s="83">
        <v>515010916</v>
      </c>
      <c r="B48" s="84">
        <v>98457.12</v>
      </c>
      <c r="C48" t="str">
        <f>VLOOKUP(A48,גיליון2!$B$5:$C$1319,2,0)</f>
        <v>ש.ש מועדנוני כדורגל - עליה</v>
      </c>
    </row>
    <row r="49" spans="1:3" ht="12.75">
      <c r="A49" s="83">
        <v>515042414</v>
      </c>
      <c r="B49" s="84">
        <v>300782.96</v>
      </c>
      <c r="C49" t="str">
        <f>VLOOKUP(A49,גיליון2!$B$5:$C$1319,2,0)</f>
        <v>מכבי אחי נצרת</v>
      </c>
    </row>
    <row r="50" spans="1:3" ht="12.75">
      <c r="A50" s="83">
        <v>515116705</v>
      </c>
      <c r="B50" s="84">
        <v>50450.54</v>
      </c>
      <c r="C50" t="e">
        <f>VLOOKUP(A50,גיליון2!$B$5:$C$1319,2,0)</f>
        <v>#N/A</v>
      </c>
    </row>
    <row r="51" spans="1:3" ht="12.75">
      <c r="A51" s="83">
        <v>515488534</v>
      </c>
      <c r="B51" s="84">
        <v>294847.6</v>
      </c>
      <c r="C51" t="str">
        <f>VLOOKUP(A51,גיליון2!$B$5:$C$1319,2,0)</f>
        <v>מכבי נתניה חדש</v>
      </c>
    </row>
    <row r="52" spans="1:3" ht="12.75">
      <c r="A52" s="83">
        <v>515560381</v>
      </c>
      <c r="B52" s="84">
        <v>11795.79</v>
      </c>
      <c r="C52" t="e">
        <f>VLOOKUP(A52,גיליון2!$B$5:$C$1319,2,0)</f>
        <v>#N/A</v>
      </c>
    </row>
    <row r="53" spans="1:3" ht="12.75">
      <c r="A53" s="83">
        <v>520041831</v>
      </c>
      <c r="B53" s="84">
        <v>154309.17</v>
      </c>
      <c r="C53" t="str">
        <f>VLOOKUP(A53,גיליון2!$B$5:$C$1319,2,0)</f>
        <v>מרכז הטניס רמת השרון</v>
      </c>
    </row>
    <row r="54" spans="1:3" ht="12.75">
      <c r="A54" s="83">
        <v>570021881</v>
      </c>
      <c r="B54" s="84">
        <v>24387.37</v>
      </c>
      <c r="C54" t="e">
        <f>VLOOKUP(A54,גיליון2!$B$5:$C$1319,2,0)</f>
        <v>#N/A</v>
      </c>
    </row>
    <row r="55" spans="1:3" ht="12.75">
      <c r="A55" s="83">
        <v>580000263</v>
      </c>
      <c r="B55" s="84">
        <v>77501.82</v>
      </c>
      <c r="C55" t="str">
        <f>VLOOKUP(A55,גיליון2!$B$5:$C$1319,2,0)</f>
        <v>אגודת הטניס בקרית ביאליק</v>
      </c>
    </row>
    <row r="56" spans="1:3" ht="12.75">
      <c r="A56" s="83">
        <v>580003499</v>
      </c>
      <c r="B56" s="84">
        <v>6366.8</v>
      </c>
      <c r="C56" t="str">
        <f>VLOOKUP(A56,גיליון2!$B$5:$C$1319,2,0)</f>
        <v>מועדון חתירה חיפה</v>
      </c>
    </row>
    <row r="57" spans="1:3" ht="12.75">
      <c r="A57" s="83">
        <v>580005601</v>
      </c>
      <c r="B57" s="84">
        <v>27407.39</v>
      </c>
      <c r="C57" t="e">
        <f>VLOOKUP(A57,גיליון2!$B$5:$C$1319,2,0)</f>
        <v>#N/A</v>
      </c>
    </row>
    <row r="58" spans="1:3" ht="12.75">
      <c r="A58" s="83">
        <v>580005924</v>
      </c>
      <c r="B58" s="84">
        <v>14289</v>
      </c>
      <c r="C58" t="e">
        <f>VLOOKUP(A58,גיליון2!$B$5:$C$1319,2,0)</f>
        <v>#N/A</v>
      </c>
    </row>
    <row r="59" spans="1:3" ht="12.75">
      <c r="A59" s="83">
        <v>580007326</v>
      </c>
      <c r="B59" s="84">
        <v>91910.16</v>
      </c>
      <c r="C59" t="str">
        <f>VLOOKUP(A59,גיליון2!$B$5:$C$1319,2,0)</f>
        <v>מועדון שחמ"ט-באר-שבע</v>
      </c>
    </row>
    <row r="60" spans="1:3" ht="12.75">
      <c r="A60" s="83">
        <v>580007656</v>
      </c>
      <c r="B60" s="84">
        <v>2299.8</v>
      </c>
      <c r="C60" t="str">
        <f>VLOOKUP(A60,גיליון2!$B$5:$C$1319,2,0)</f>
        <v>המועדון הישראלי לצניחה חופשית</v>
      </c>
    </row>
    <row r="61" spans="1:3" ht="12.75">
      <c r="A61" s="83">
        <v>580008357</v>
      </c>
      <c r="B61" s="84">
        <v>22627.24</v>
      </c>
      <c r="C61" t="e">
        <f>VLOOKUP(A61,גיליון2!$B$5:$C$1319,2,0)</f>
        <v>#N/A</v>
      </c>
    </row>
    <row r="62" spans="1:3" ht="12.75">
      <c r="A62" s="83">
        <v>580012284</v>
      </c>
      <c r="B62" s="84">
        <v>103868.76</v>
      </c>
      <c r="C62" t="e">
        <f>VLOOKUP(A62,גיליון2!$B$5:$C$1319,2,0)</f>
        <v>#N/A</v>
      </c>
    </row>
    <row r="63" spans="1:3" ht="12.75">
      <c r="A63" s="83">
        <v>580013340</v>
      </c>
      <c r="B63" s="84">
        <v>26224.37</v>
      </c>
      <c r="C63" t="str">
        <f>VLOOKUP(A63,גיליון2!$B$5:$C$1319,2,0)</f>
        <v>מועדון מכבי צפון תל-אביב</v>
      </c>
    </row>
    <row r="64" spans="1:3" ht="12.75">
      <c r="A64" s="83">
        <v>580013910</v>
      </c>
      <c r="B64" s="84">
        <v>17255.49</v>
      </c>
      <c r="C64" t="e">
        <f>VLOOKUP(A64,גיליון2!$B$5:$C$1319,2,0)</f>
        <v>#N/A</v>
      </c>
    </row>
    <row r="65" spans="1:3" ht="12.75">
      <c r="A65" s="83">
        <v>580015758</v>
      </c>
      <c r="B65" s="84">
        <v>1387.59</v>
      </c>
      <c r="C65" t="str">
        <f>VLOOKUP(A65,גיליון2!$B$5:$C$1319,2,0)</f>
        <v>מועדון לכדורת נתניה</v>
      </c>
    </row>
    <row r="66" spans="1:3" ht="12.75">
      <c r="A66" s="83">
        <v>580016715</v>
      </c>
      <c r="B66" s="84">
        <v>927927.78</v>
      </c>
      <c r="C66" t="str">
        <f>VLOOKUP(A66,גיליון2!$B$5:$C$1319,2,0)</f>
        <v>אסא תל אביב</v>
      </c>
    </row>
    <row r="67" spans="1:3" ht="12.75">
      <c r="A67" s="83">
        <v>580017457</v>
      </c>
      <c r="B67" s="84">
        <v>16215.2</v>
      </c>
      <c r="C67" t="e">
        <f>VLOOKUP(A67,גיליון2!$B$5:$C$1319,2,0)</f>
        <v>#N/A</v>
      </c>
    </row>
    <row r="68" spans="1:3" ht="12.75">
      <c r="A68" s="83">
        <v>580023679</v>
      </c>
      <c r="B68" s="84">
        <v>1387.6</v>
      </c>
      <c r="C68" t="str">
        <f>VLOOKUP(A68,גיליון2!$B$5:$C$1319,2,0)</f>
        <v>מועדון הכדורת העירוני רעננה</v>
      </c>
    </row>
    <row r="69" spans="1:3" ht="12.75">
      <c r="A69" s="83">
        <v>580026003</v>
      </c>
      <c r="B69" s="84">
        <v>446725.53</v>
      </c>
      <c r="C69" t="str">
        <f>VLOOKUP(A69,גיליון2!$B$5:$C$1319,2,0)</f>
        <v>בית חנוך עוורים לבני ישראל וירושלים</v>
      </c>
    </row>
    <row r="70" spans="1:3" ht="12.75">
      <c r="A70" s="83">
        <v>580026896</v>
      </c>
      <c r="B70" s="84">
        <v>7742.93</v>
      </c>
      <c r="C70" t="str">
        <f>VLOOKUP(A70,גיליון2!$B$5:$C$1319,2,0)</f>
        <v>עמותה ספורטיבית "הכח" חיפה</v>
      </c>
    </row>
    <row r="71" spans="1:3" ht="12.75">
      <c r="A71" s="83">
        <v>580029874</v>
      </c>
      <c r="B71" s="84">
        <v>25211.11</v>
      </c>
      <c r="C71" t="str">
        <f>VLOOKUP(A71,גיליון2!$B$5:$C$1319,2,0)</f>
        <v>מרכז טניס מיתר</v>
      </c>
    </row>
    <row r="72" spans="1:3" ht="12.75">
      <c r="A72" s="83">
        <v>580030542</v>
      </c>
      <c r="B72" s="84">
        <v>30069.92</v>
      </c>
      <c r="C72" t="e">
        <f>VLOOKUP(A72,גיליון2!$B$5:$C$1319,2,0)</f>
        <v>#N/A</v>
      </c>
    </row>
    <row r="73" spans="1:3" ht="12.75">
      <c r="A73" s="83">
        <v>580032118</v>
      </c>
      <c r="B73" s="84">
        <v>4571.12</v>
      </c>
      <c r="C73" t="e">
        <f>VLOOKUP(A73,גיליון2!$B$5:$C$1319,2,0)</f>
        <v>#N/A</v>
      </c>
    </row>
    <row r="74" spans="1:3" ht="12.75">
      <c r="A74" s="83">
        <v>580033116</v>
      </c>
      <c r="B74" s="84">
        <v>6366.8</v>
      </c>
      <c r="C74" t="str">
        <f>VLOOKUP(A74,גיליון2!$B$5:$C$1319,2,0)</f>
        <v>מועדון השייטים תל אביב</v>
      </c>
    </row>
    <row r="75" spans="1:3" ht="12.75">
      <c r="A75" s="83">
        <v>580036242</v>
      </c>
      <c r="B75" s="84">
        <v>849112.34</v>
      </c>
      <c r="C75" t="str">
        <f>VLOOKUP(A75,גיליון2!$B$5:$C$1319,2,0)</f>
        <v>מרכז אילן לספורט נכים</v>
      </c>
    </row>
    <row r="76" spans="1:3" ht="12.75">
      <c r="A76" s="83">
        <v>580036515</v>
      </c>
      <c r="B76" s="84">
        <v>4353.45</v>
      </c>
      <c r="C76" t="str">
        <f>VLOOKUP(A76,גיליון2!$B$5:$C$1319,2,0)</f>
        <v>טניס רמת גן</v>
      </c>
    </row>
    <row r="77" spans="1:3" ht="12.75">
      <c r="A77" s="83">
        <v>580037661</v>
      </c>
      <c r="B77" s="84">
        <v>1387.6</v>
      </c>
      <c r="C77" t="str">
        <f>VLOOKUP(A77,גיליון2!$B$5:$C$1319,2,0)</f>
        <v>מועדון חיפה לכדורת הדשא</v>
      </c>
    </row>
    <row r="78" spans="1:3" ht="12.75">
      <c r="A78" s="83">
        <v>580037828</v>
      </c>
      <c r="B78" s="84">
        <v>17469.42</v>
      </c>
      <c r="C78" t="str">
        <f>VLOOKUP(A78,גיליון2!$B$5:$C$1319,2,0)</f>
        <v>הפועל זכרון יעקב</v>
      </c>
    </row>
    <row r="79" spans="1:3" ht="12.75">
      <c r="A79" s="83">
        <v>580038156</v>
      </c>
      <c r="B79" s="84">
        <v>407063.72</v>
      </c>
      <c r="C79" t="str">
        <f>VLOOKUP(A79,גיליון2!$B$5:$C$1319,2,0)</f>
        <v>מרכז קוסל ירושלים</v>
      </c>
    </row>
    <row r="80" spans="1:3" ht="12.75">
      <c r="A80" s="83">
        <v>580040376</v>
      </c>
      <c r="B80" s="84">
        <v>5713.78</v>
      </c>
      <c r="C80" t="str">
        <f>VLOOKUP(A80,גיליון2!$B$5:$C$1319,2,0)</f>
        <v>מועדון ריצה הסוללים ירושלים</v>
      </c>
    </row>
    <row r="81" spans="1:3" ht="12.75">
      <c r="A81" s="83">
        <v>580040541</v>
      </c>
      <c r="B81" s="84">
        <v>3517.76</v>
      </c>
      <c r="C81" t="e">
        <f>VLOOKUP(A81,גיליון2!$B$5:$C$1319,2,0)</f>
        <v>#N/A</v>
      </c>
    </row>
    <row r="82" spans="1:3" ht="12.75">
      <c r="A82" s="83">
        <v>580042125</v>
      </c>
      <c r="B82" s="84">
        <v>376612.31</v>
      </c>
      <c r="C82" t="str">
        <f>VLOOKUP(A82,גיליון2!$B$5:$C$1319,2,0)</f>
        <v>מכבי רעננה</v>
      </c>
    </row>
    <row r="83" spans="1:3" ht="12.75">
      <c r="A83" s="83">
        <v>580046829</v>
      </c>
      <c r="B83" s="84">
        <v>383179.67</v>
      </c>
      <c r="C83" t="str">
        <f>VLOOKUP(A83,גיליון2!$B$5:$C$1319,2,0)</f>
        <v>מועדון ספורט עירוני אשדוד</v>
      </c>
    </row>
    <row r="84" spans="1:3" ht="12.75">
      <c r="A84" s="83">
        <v>580049534</v>
      </c>
      <c r="B84" s="84">
        <v>202413.81</v>
      </c>
      <c r="C84" t="str">
        <f>VLOOKUP(A84,גיליון2!$B$5:$C$1319,2,0)</f>
        <v>האגודה לקידום הספורט באזור שער הנגב</v>
      </c>
    </row>
    <row r="85" spans="1:3" ht="12.75">
      <c r="A85" s="83">
        <v>580050789</v>
      </c>
      <c r="B85" s="84">
        <v>58574.24</v>
      </c>
      <c r="C85" t="e">
        <f>VLOOKUP(A85,גיליון2!$B$5:$C$1319,2,0)</f>
        <v>#N/A</v>
      </c>
    </row>
    <row r="86" spans="1:3" ht="12.75">
      <c r="A86" s="83">
        <v>580052728</v>
      </c>
      <c r="B86" s="84">
        <v>743660.17</v>
      </c>
      <c r="C86" t="str">
        <f>VLOOKUP(A86,גיליון2!$B$5:$C$1319,2,0)</f>
        <v>ארגון נכי צה"ל</v>
      </c>
    </row>
    <row r="87" spans="1:3" ht="12.75">
      <c r="A87" s="83">
        <v>580052793</v>
      </c>
      <c r="B87" s="84">
        <v>138195.11</v>
      </c>
      <c r="C87" t="str">
        <f>VLOOKUP(A87,גיליון2!$B$5:$C$1319,2,0)</f>
        <v>מרכז מכבי</v>
      </c>
    </row>
    <row r="88" spans="1:3" ht="12.75">
      <c r="A88" s="83">
        <v>580055937</v>
      </c>
      <c r="B88" s="84">
        <v>213486</v>
      </c>
      <c r="C88" t="str">
        <f>VLOOKUP(A88,גיליון2!$B$5:$C$1319,2,0)</f>
        <v>מועדון ישראלי לרצים "איילות"</v>
      </c>
    </row>
    <row r="89" spans="1:3" ht="12.75">
      <c r="A89" s="83">
        <v>580056497</v>
      </c>
      <c r="B89" s="84">
        <v>7642.3</v>
      </c>
      <c r="C89" t="str">
        <f>VLOOKUP(A89,גיליון2!$B$5:$C$1319,2,0)</f>
        <v>הגנה רעננה</v>
      </c>
    </row>
    <row r="90" spans="1:3" ht="12.75">
      <c r="A90" s="83">
        <v>580059566</v>
      </c>
      <c r="B90" s="84">
        <v>120278.28</v>
      </c>
      <c r="C90" t="str">
        <f>VLOOKUP(A90,גיליון2!$B$5:$C$1319,2,0)</f>
        <v>מועדון הכדורגל נווה יוסף</v>
      </c>
    </row>
    <row r="91" spans="1:3" ht="12.75">
      <c r="A91" s="83">
        <v>580062206</v>
      </c>
      <c r="B91" s="84">
        <v>3814.45</v>
      </c>
      <c r="C91" t="str">
        <f>VLOOKUP(A91,גיליון2!$B$5:$C$1319,2,0)</f>
        <v>מועדון טניס קרית ים</v>
      </c>
    </row>
    <row r="92" spans="1:3" ht="12.75">
      <c r="A92" s="83">
        <v>580082568</v>
      </c>
      <c r="B92" s="84">
        <v>2299.8</v>
      </c>
      <c r="C92" t="e">
        <f>VLOOKUP(A92,גיליון2!$B$5:$C$1319,2,0)</f>
        <v>#N/A</v>
      </c>
    </row>
    <row r="93" spans="1:3" ht="12.75">
      <c r="A93" s="83">
        <v>580082576</v>
      </c>
      <c r="B93" s="84">
        <v>2299.8</v>
      </c>
      <c r="C93" t="str">
        <f>VLOOKUP(A93,גיליון2!$B$5:$C$1319,2,0)</f>
        <v>דאייה-מרכז דאייה מגידו</v>
      </c>
    </row>
    <row r="94" spans="1:3" ht="12.75">
      <c r="A94" s="83">
        <v>580087625</v>
      </c>
      <c r="B94" s="84">
        <v>17959.8</v>
      </c>
      <c r="C94" t="e">
        <f>VLOOKUP(A94,גיליון2!$B$5:$C$1319,2,0)</f>
        <v>#N/A</v>
      </c>
    </row>
    <row r="95" spans="1:3" ht="12.75">
      <c r="A95" s="83">
        <v>580087880</v>
      </c>
      <c r="B95" s="84">
        <v>3138.45</v>
      </c>
      <c r="C95" t="e">
        <f>VLOOKUP(A95,גיליון2!$B$5:$C$1319,2,0)</f>
        <v>#N/A</v>
      </c>
    </row>
    <row r="96" spans="1:3" ht="12.75">
      <c r="A96" s="83">
        <v>580088631</v>
      </c>
      <c r="B96" s="84">
        <v>2299.8</v>
      </c>
      <c r="C96" t="e">
        <f>VLOOKUP(A96,גיליון2!$B$5:$C$1319,2,0)</f>
        <v>#N/A</v>
      </c>
    </row>
    <row r="97" spans="1:3" ht="12.75">
      <c r="A97" s="83">
        <v>580093151</v>
      </c>
      <c r="B97" s="84">
        <v>953099.24</v>
      </c>
      <c r="C97" t="str">
        <f>VLOOKUP(A97,גיליון2!$B$5:$C$1319,2,0)</f>
        <v>בני הרצליה</v>
      </c>
    </row>
    <row r="98" spans="1:3" ht="12.75">
      <c r="A98" s="83">
        <v>580093680</v>
      </c>
      <c r="B98" s="84">
        <v>121280.62</v>
      </c>
      <c r="C98" t="str">
        <f>VLOOKUP(A98,גיליון2!$B$5:$C$1319,2,0)</f>
        <v>מכבי זכרון יעקוב</v>
      </c>
    </row>
    <row r="99" spans="1:3" ht="12.75">
      <c r="A99" s="83">
        <v>580095396</v>
      </c>
      <c r="B99" s="84">
        <v>381177.99</v>
      </c>
      <c r="C99" t="str">
        <f>VLOOKUP(A99,גיליון2!$B$5:$C$1319,2,0)</f>
        <v>אליצור חולון</v>
      </c>
    </row>
    <row r="100" spans="1:3" ht="12.75">
      <c r="A100" s="83">
        <v>580096121</v>
      </c>
      <c r="B100" s="84">
        <v>17483.19</v>
      </c>
      <c r="C100" t="str">
        <f>VLOOKUP(A100,גיליון2!$B$5:$C$1319,2,0)</f>
        <v>הפועל אריאל</v>
      </c>
    </row>
    <row r="101" spans="1:3" ht="12.75">
      <c r="A101" s="83">
        <v>580096675</v>
      </c>
      <c r="B101" s="84">
        <v>5279.03</v>
      </c>
      <c r="C101" t="str">
        <f>VLOOKUP(A101,גיליון2!$B$5:$C$1319,2,0)</f>
        <v>אליצור קרית אתא - טנ"ש</v>
      </c>
    </row>
    <row r="102" spans="1:3" ht="12.75">
      <c r="A102" s="83">
        <v>580100121</v>
      </c>
      <c r="B102" s="84">
        <v>133629.43</v>
      </c>
      <c r="C102" t="str">
        <f>VLOOKUP(A102,גיליון2!$B$5:$C$1319,2,0)</f>
        <v>ל.כ.ן לקידום כדורסל נשים</v>
      </c>
    </row>
    <row r="103" spans="1:3" ht="12.75">
      <c r="A103" s="83">
        <v>580100139</v>
      </c>
      <c r="B103" s="84">
        <v>109798.85</v>
      </c>
      <c r="C103" t="str">
        <f>VLOOKUP(A103,גיליון2!$B$5:$C$1319,2,0)</f>
        <v>העמותה לקידום הכדורסל בלוד</v>
      </c>
    </row>
    <row r="104" spans="1:3" ht="12.75">
      <c r="A104" s="83">
        <v>580103778</v>
      </c>
      <c r="B104" s="84">
        <v>30042.66</v>
      </c>
      <c r="C104" t="str">
        <f>VLOOKUP(A104,גיליון2!$B$5:$C$1319,2,0)</f>
        <v>חוסן באר שבע (אס"ח)</v>
      </c>
    </row>
    <row r="105" spans="1:3" ht="12.75">
      <c r="A105" s="83">
        <v>580106631</v>
      </c>
      <c r="B105" s="84">
        <v>2807.65</v>
      </c>
      <c r="C105" t="str">
        <f>VLOOKUP(A105,גיליון2!$B$5:$C$1319,2,0)</f>
        <v>פטנק קלוב נתניה</v>
      </c>
    </row>
    <row r="106" spans="1:3" ht="12.75">
      <c r="A106" s="83">
        <v>580106805</v>
      </c>
      <c r="B106" s="84">
        <v>143146.86</v>
      </c>
      <c r="C106" t="str">
        <f>VLOOKUP(A106,גיליון2!$B$5:$C$1319,2,0)</f>
        <v>אגודת ספורט "שמשון" תל אביב</v>
      </c>
    </row>
    <row r="107" spans="1:3" ht="12.75">
      <c r="A107" s="83">
        <v>580109064</v>
      </c>
      <c r="B107" s="84">
        <v>7126.9</v>
      </c>
      <c r="C107" t="str">
        <f>VLOOKUP(A107,גיליון2!$B$5:$C$1319,2,0)</f>
        <v>מסד אליצור רחובות (פתח תקווה)</v>
      </c>
    </row>
    <row r="108" spans="1:3" ht="12.75">
      <c r="A108" s="83">
        <v>580111052</v>
      </c>
      <c r="B108" s="84">
        <v>16843.43</v>
      </c>
      <c r="C108" t="str">
        <f>VLOOKUP(A108,גיליון2!$B$5:$C$1319,2,0)</f>
        <v>האגודה לג'ודו והתגוננויות</v>
      </c>
    </row>
    <row r="109" spans="1:3" ht="12.75">
      <c r="A109" s="83">
        <v>580112977</v>
      </c>
      <c r="B109" s="84">
        <v>13858.74</v>
      </c>
      <c r="C109" t="str">
        <f>VLOOKUP(A109,גיליון2!$B$5:$C$1319,2,0)</f>
        <v>מועדון ימי חדרה</v>
      </c>
    </row>
    <row r="110" spans="1:3" ht="12.75">
      <c r="A110" s="83">
        <v>580115715</v>
      </c>
      <c r="B110" s="84">
        <v>45743.92</v>
      </c>
      <c r="C110" t="str">
        <f>VLOOKUP(A110,גיליון2!$B$5:$C$1319,2,0)</f>
        <v>אליצור אלקנה</v>
      </c>
    </row>
    <row r="111" spans="1:3" ht="12.75">
      <c r="A111" s="83">
        <v>580115814</v>
      </c>
      <c r="B111" s="84">
        <v>231649.56</v>
      </c>
      <c r="C111" t="str">
        <f>VLOOKUP(A111,גיליון2!$B$5:$C$1319,2,0)</f>
        <v>עמותת שחייני ירושלים</v>
      </c>
    </row>
    <row r="112" spans="1:3" ht="12.75">
      <c r="A112" s="83">
        <v>580120012</v>
      </c>
      <c r="B112" s="84">
        <v>65463.49</v>
      </c>
      <c r="C112" t="str">
        <f>VLOOKUP(A112,גיליון2!$B$5:$C$1319,2,0)</f>
        <v>עמותת ידידי אגודת הפועל כפר שלם לקידום החינוך התרבות הנוער והספורט כפר שלם</v>
      </c>
    </row>
    <row r="113" spans="1:3" ht="12.75">
      <c r="A113" s="83">
        <v>580120418</v>
      </c>
      <c r="B113" s="84">
        <v>244423.89</v>
      </c>
      <c r="C113" t="str">
        <f>VLOOKUP(A113,גיליון2!$B$5:$C$1319,2,0)</f>
        <v>מכבי מעלה אדומים</v>
      </c>
    </row>
    <row r="114" spans="1:3" ht="12.75">
      <c r="A114" s="83">
        <v>580120855</v>
      </c>
      <c r="B114" s="84">
        <v>140181.33</v>
      </c>
      <c r="C114" t="str">
        <f>VLOOKUP(A114,גיליון2!$B$5:$C$1319,2,0)</f>
        <v>מכבי מכבים</v>
      </c>
    </row>
    <row r="115" spans="1:3" ht="12.75">
      <c r="A115" s="83">
        <v>580122570</v>
      </c>
      <c r="B115" s="84">
        <v>97122.84</v>
      </c>
      <c r="C115" t="str">
        <f>VLOOKUP(A115,גיליון2!$B$5:$C$1319,2,0)</f>
        <v>הפועל תל אביב- מועדון ימי קיאקים- שיט- חתירה</v>
      </c>
    </row>
    <row r="116" spans="1:3" ht="12.75">
      <c r="A116" s="83">
        <v>580125383</v>
      </c>
      <c r="B116" s="84">
        <v>94399.15</v>
      </c>
      <c r="C116" t="str">
        <f>VLOOKUP(A116,גיליון2!$B$5:$C$1319,2,0)</f>
        <v>הפועל רהט</v>
      </c>
    </row>
    <row r="117" spans="1:3" ht="12.75">
      <c r="A117" s="83">
        <v>580128262</v>
      </c>
      <c r="B117" s="84">
        <v>170628.36</v>
      </c>
      <c r="C117" t="str">
        <f>VLOOKUP(A117,גיליון2!$B$5:$C$1319,2,0)</f>
        <v>הפועל בני יהודה רמת הגולן</v>
      </c>
    </row>
    <row r="118" spans="1:3" ht="12.75">
      <c r="A118" s="83">
        <v>580139566</v>
      </c>
      <c r="B118" s="84">
        <v>2946.87</v>
      </c>
      <c r="C118" t="e">
        <f>VLOOKUP(A118,גיליון2!$B$5:$C$1319,2,0)</f>
        <v>#N/A</v>
      </c>
    </row>
    <row r="119" spans="1:3" ht="12.75">
      <c r="A119" s="83">
        <v>580143634</v>
      </c>
      <c r="B119" s="84">
        <v>456960.64</v>
      </c>
      <c r="C119" t="str">
        <f>VLOOKUP(A119,גיליון2!$B$5:$C$1319,2,0)</f>
        <v>הפועל רמת אליהו</v>
      </c>
    </row>
    <row r="120" spans="1:3" ht="12.75">
      <c r="A120" s="83">
        <v>580145563</v>
      </c>
      <c r="B120" s="84">
        <v>11660.76</v>
      </c>
      <c r="C120" t="str">
        <f>VLOOKUP(A120,גיליון2!$B$5:$C$1319,2,0)</f>
        <v>הפועל לוד</v>
      </c>
    </row>
    <row r="121" spans="1:3" ht="12.75">
      <c r="A121" s="83">
        <v>580156511</v>
      </c>
      <c r="B121" s="84">
        <v>43991.47</v>
      </c>
      <c r="C121" t="str">
        <f>VLOOKUP(A121,גיליון2!$B$5:$C$1319,2,0)</f>
        <v>ותיקי לוד</v>
      </c>
    </row>
    <row r="122" spans="1:3" ht="12.75">
      <c r="A122" s="83">
        <v>580156552</v>
      </c>
      <c r="B122" s="84">
        <v>4504.94</v>
      </c>
      <c r="C122" t="str">
        <f>VLOOKUP(A122,גיליון2!$B$5:$C$1319,2,0)</f>
        <v>מועדון הברידג' כפר סבא</v>
      </c>
    </row>
    <row r="123" spans="1:3" ht="12.75">
      <c r="A123" s="83">
        <v>580159051</v>
      </c>
      <c r="B123" s="84">
        <v>2039.79</v>
      </c>
      <c r="C123" t="str">
        <f>VLOOKUP(A123,גיליון2!$B$5:$C$1319,2,0)</f>
        <v>מועדון כדור הזהב אשדוד</v>
      </c>
    </row>
    <row r="124" spans="1:3" ht="12.75">
      <c r="A124" s="83">
        <v>580160133</v>
      </c>
      <c r="B124" s="84">
        <v>395209.06</v>
      </c>
      <c r="C124" t="str">
        <f>VLOOKUP(A124,גיליון2!$B$5:$C$1319,2,0)</f>
        <v>מכבי ראשל"צ כדורסל</v>
      </c>
    </row>
    <row r="125" spans="1:3" ht="12.75">
      <c r="A125" s="83">
        <v>580161032</v>
      </c>
      <c r="B125" s="84">
        <v>196164.45</v>
      </c>
      <c r="C125" t="str">
        <f>VLOOKUP(A125,גיליון2!$B$5:$C$1319,2,0)</f>
        <v>איגוד ספורטיבי אליצור כוכב יאיר</v>
      </c>
    </row>
    <row r="126" spans="1:3" ht="12.75">
      <c r="A126" s="83">
        <v>580164499</v>
      </c>
      <c r="B126" s="84">
        <v>21220</v>
      </c>
      <c r="C126" t="str">
        <f>VLOOKUP(A126,גיליון2!$B$5:$C$1319,2,0)</f>
        <v>מבנה טיפוס צוקים לזכרו של שגיא בלאו ז"ל</v>
      </c>
    </row>
    <row r="127" spans="1:3" ht="12.75">
      <c r="A127" s="83">
        <v>580167831</v>
      </c>
      <c r="B127" s="84">
        <v>1387.6</v>
      </c>
      <c r="C127" t="str">
        <f>VLOOKUP(A127,גיליון2!$B$5:$C$1319,2,0)</f>
        <v>מועדון כדורת דשא רמת גן</v>
      </c>
    </row>
    <row r="128" spans="1:3" ht="12.75">
      <c r="A128" s="83">
        <v>580168136</v>
      </c>
      <c r="B128" s="84">
        <v>36871.23</v>
      </c>
      <c r="C128" t="e">
        <f>VLOOKUP(A128,גיליון2!$B$5:$C$1319,2,0)</f>
        <v>#N/A</v>
      </c>
    </row>
    <row r="129" spans="1:3" ht="12.75">
      <c r="A129" s="83">
        <v>580170074</v>
      </c>
      <c r="B129" s="84">
        <v>21456.3</v>
      </c>
      <c r="C129" t="str">
        <f>VLOOKUP(A129,גיליון2!$B$5:$C$1319,2,0)</f>
        <v>עירוני לוד</v>
      </c>
    </row>
    <row r="130" spans="1:3" ht="12.75">
      <c r="A130" s="83">
        <v>580171064</v>
      </c>
      <c r="B130" s="84">
        <v>55469.57</v>
      </c>
      <c r="C130" t="str">
        <f>VLOOKUP(A130,גיליון2!$B$5:$C$1319,2,0)</f>
        <v>מכבי קרית עקרון</v>
      </c>
    </row>
    <row r="131" spans="1:3" ht="12.75">
      <c r="A131" s="83">
        <v>580171353</v>
      </c>
      <c r="B131" s="84">
        <v>142430.55</v>
      </c>
      <c r="C131" t="str">
        <f>VLOOKUP(A131,גיליון2!$B$5:$C$1319,2,0)</f>
        <v>המרכז לחינוך וספורט ימי אילת</v>
      </c>
    </row>
    <row r="132" spans="1:3" ht="12.75">
      <c r="A132" s="83">
        <v>580173425</v>
      </c>
      <c r="B132" s="84">
        <v>69932.74</v>
      </c>
      <c r="C132" t="str">
        <f>VLOOKUP(A132,גיליון2!$B$5:$C$1319,2,0)</f>
        <v>מכבי אורנית</v>
      </c>
    </row>
    <row r="133" spans="1:3" ht="12.75">
      <c r="A133" s="83">
        <v>580173441</v>
      </c>
      <c r="B133" s="84">
        <v>1399.77</v>
      </c>
      <c r="C133" t="str">
        <f>VLOOKUP(A133,גיליון2!$B$5:$C$1319,2,0)</f>
        <v>אגודת באולינג אמריקאי רמת גן</v>
      </c>
    </row>
    <row r="134" spans="1:3" ht="12.75">
      <c r="A134" s="83">
        <v>580173474</v>
      </c>
      <c r="B134" s="84">
        <v>80915.91</v>
      </c>
      <c r="C134" t="e">
        <f>VLOOKUP(A134,גיליון2!$B$5:$C$1319,2,0)</f>
        <v>#N/A</v>
      </c>
    </row>
    <row r="135" spans="1:3" ht="12.75">
      <c r="A135" s="83">
        <v>580174738</v>
      </c>
      <c r="B135" s="84">
        <v>32481.73</v>
      </c>
      <c r="C135" t="str">
        <f>VLOOKUP(A135,גיליון2!$B$5:$C$1319,2,0)</f>
        <v>מועדון שחמט הרצליה</v>
      </c>
    </row>
    <row r="136" spans="1:3" ht="12.75">
      <c r="A136" s="83">
        <v>580179273</v>
      </c>
      <c r="B136" s="84">
        <v>2431.18</v>
      </c>
      <c r="C136" t="str">
        <f>VLOOKUP(A136,גיליון2!$B$5:$C$1319,2,0)</f>
        <v>אגודת כדורת רחובות</v>
      </c>
    </row>
    <row r="137" spans="1:3" ht="12.75">
      <c r="A137" s="83">
        <v>580180438</v>
      </c>
      <c r="B137" s="84">
        <v>41241.9</v>
      </c>
      <c r="C137" t="str">
        <f>VLOOKUP(A137,גיליון2!$B$5:$C$1319,2,0)</f>
        <v>מועדון שחמ"ט-ראשון לציון</v>
      </c>
    </row>
    <row r="138" spans="1:3" ht="12.75">
      <c r="A138" s="83">
        <v>580181071</v>
      </c>
      <c r="B138" s="84">
        <v>158508.96</v>
      </c>
      <c r="C138" t="e">
        <f>VLOOKUP(A138,גיליון2!$B$5:$C$1319,2,0)</f>
        <v>#N/A</v>
      </c>
    </row>
    <row r="139" spans="1:3" ht="12.75">
      <c r="A139" s="83">
        <v>580181659</v>
      </c>
      <c r="B139" s="84">
        <v>1341910.42</v>
      </c>
      <c r="C139" t="str">
        <f>VLOOKUP(A139,גיליון2!$B$5:$C$1319,2,0)</f>
        <v>א.ס רמת השרון</v>
      </c>
    </row>
    <row r="140" spans="1:3" ht="12.75">
      <c r="A140" s="83">
        <v>580183119</v>
      </c>
      <c r="B140" s="84">
        <v>5446.2</v>
      </c>
      <c r="C140" t="str">
        <f>VLOOKUP(A140,גיליון2!$B$5:$C$1319,2,0)</f>
        <v>אגודת באולינג פתח תקווה</v>
      </c>
    </row>
    <row r="141" spans="1:3" ht="12.75">
      <c r="A141" s="83">
        <v>580184828</v>
      </c>
      <c r="B141" s="84">
        <v>198795.64</v>
      </c>
      <c r="C141" t="str">
        <f>VLOOKUP(A141,גיליון2!$B$5:$C$1319,2,0)</f>
        <v>העמותה לקידום הספורט בגבעתיים</v>
      </c>
    </row>
    <row r="142" spans="1:3" ht="12.75">
      <c r="A142" s="83">
        <v>580188480</v>
      </c>
      <c r="B142" s="84">
        <v>284407.99</v>
      </c>
      <c r="C142" t="str">
        <f>VLOOKUP(A142,גיליון2!$B$5:$C$1319,2,0)</f>
        <v>עמותת הכדורסל 1990 הפועל פתח תקוה</v>
      </c>
    </row>
    <row r="143" spans="1:3" ht="12.75">
      <c r="A143" s="83">
        <v>580190775</v>
      </c>
      <c r="B143" s="84">
        <v>142099.44</v>
      </c>
      <c r="C143" t="str">
        <f>VLOOKUP(A143,גיליון2!$B$5:$C$1319,2,0)</f>
        <v>עמותתה מועדון הספורט עמישב</v>
      </c>
    </row>
    <row r="144" spans="1:3" ht="12.75">
      <c r="A144" s="83">
        <v>580192508</v>
      </c>
      <c r="B144" s="84">
        <v>221338</v>
      </c>
      <c r="C144" t="str">
        <f>VLOOKUP(A144,גיליון2!$B$5:$C$1319,2,0)</f>
        <v>עמותת רחף</v>
      </c>
    </row>
    <row r="145" spans="1:3" ht="12.75">
      <c r="A145" s="83">
        <v>580193563</v>
      </c>
      <c r="B145" s="84">
        <v>227114.7</v>
      </c>
      <c r="C145" t="str">
        <f>VLOOKUP(A145,גיליון2!$B$5:$C$1319,2,0)</f>
        <v>הפועל מרמורק</v>
      </c>
    </row>
    <row r="146" spans="1:3" ht="12.75">
      <c r="A146" s="83">
        <v>580195626</v>
      </c>
      <c r="B146" s="84">
        <v>5079.02</v>
      </c>
      <c r="C146" t="str">
        <f>VLOOKUP(A146,גיליון2!$B$5:$C$1319,2,0)</f>
        <v>מועדון הכרמל טניס חיפה</v>
      </c>
    </row>
    <row r="147" spans="1:3" ht="12.75">
      <c r="A147" s="83">
        <v>580195675</v>
      </c>
      <c r="B147" s="84">
        <v>313688.73</v>
      </c>
      <c r="C147" t="str">
        <f>VLOOKUP(A147,גיליון2!$B$5:$C$1319,2,0)</f>
        <v>א.ס.א. באר שבע בן-גוריון בנגב </v>
      </c>
    </row>
    <row r="148" spans="1:3" ht="12.75">
      <c r="A148" s="83">
        <v>580195808</v>
      </c>
      <c r="B148" s="84">
        <v>14289</v>
      </c>
      <c r="C148" t="str">
        <f>VLOOKUP(A148,גיליון2!$B$5:$C$1319,2,0)</f>
        <v>הורי מחליקי גלגליות בחולון</v>
      </c>
    </row>
    <row r="149" spans="1:3" ht="12.75">
      <c r="A149" s="83">
        <v>580195873</v>
      </c>
      <c r="B149" s="84">
        <v>2942.31</v>
      </c>
      <c r="C149" t="e">
        <f>VLOOKUP(A149,גיליון2!$B$5:$C$1319,2,0)</f>
        <v>#N/A</v>
      </c>
    </row>
    <row r="150" spans="1:3" ht="12.75">
      <c r="A150" s="83">
        <v>580197150</v>
      </c>
      <c r="B150" s="84">
        <v>56510.34</v>
      </c>
      <c r="C150" t="str">
        <f>VLOOKUP(A150,גיליון2!$B$5:$C$1319,2,0)</f>
        <v>ביתר מיכה ראשון</v>
      </c>
    </row>
    <row r="151" spans="1:3" ht="12.75">
      <c r="A151" s="83">
        <v>580197317</v>
      </c>
      <c r="B151" s="84">
        <v>279953.67</v>
      </c>
      <c r="C151" t="str">
        <f>VLOOKUP(A151,גיליון2!$B$5:$C$1319,2,0)</f>
        <v>מועדון כדורסל בני-יהודה ת''א</v>
      </c>
    </row>
    <row r="152" spans="1:3" ht="12.75">
      <c r="A152" s="83">
        <v>580197903</v>
      </c>
      <c r="B152" s="84">
        <v>49228.56</v>
      </c>
      <c r="C152" t="str">
        <f>VLOOKUP(A152,גיליון2!$B$5:$C$1319,2,0)</f>
        <v>הפועל אחווה חיפה</v>
      </c>
    </row>
    <row r="153" spans="1:3" ht="12.75">
      <c r="A153" s="83">
        <v>580202513</v>
      </c>
      <c r="B153" s="84">
        <v>82294.11</v>
      </c>
      <c r="C153" t="str">
        <f>VLOOKUP(A153,גיליון2!$B$5:$C$1319,2,0)</f>
        <v>עמותת הספורט ואומניות הלחימה המשולש וג'לג'וליה</v>
      </c>
    </row>
    <row r="154" spans="1:3" ht="12.75">
      <c r="A154" s="83">
        <v>580202687</v>
      </c>
      <c r="B154" s="84">
        <v>17849.15</v>
      </c>
      <c r="C154" t="str">
        <f>VLOOKUP(A154,גיליון2!$B$5:$C$1319,2,0)</f>
        <v>מועדון טניס מכבי נתניה</v>
      </c>
    </row>
    <row r="155" spans="1:3" ht="12.75">
      <c r="A155" s="83">
        <v>580203107</v>
      </c>
      <c r="B155" s="84">
        <v>435899.62</v>
      </c>
      <c r="C155" t="str">
        <f>VLOOKUP(A155,גיליון2!$B$5:$C$1319,2,0)</f>
        <v>מכבי תל אביב כדורגל</v>
      </c>
    </row>
    <row r="156" spans="1:3" ht="12.75">
      <c r="A156" s="83">
        <v>580203412</v>
      </c>
      <c r="B156" s="84">
        <v>3120.99</v>
      </c>
      <c r="C156" t="str">
        <f>VLOOKUP(A156,גיליון2!$B$5:$C$1319,2,0)</f>
        <v>מועדון פטנק פרדסיה</v>
      </c>
    </row>
    <row r="157" spans="1:3" ht="12.75">
      <c r="A157" s="83">
        <v>580203800</v>
      </c>
      <c r="B157" s="84">
        <v>17525.71</v>
      </c>
      <c r="C157" t="str">
        <f>VLOOKUP(A157,גיליון2!$B$5:$C$1319,2,0)</f>
        <v>התאגדות לתרבות גופנית הפועל נתניה</v>
      </c>
    </row>
    <row r="158" spans="1:3" ht="12.75">
      <c r="A158" s="83">
        <v>580204386</v>
      </c>
      <c r="B158" s="84">
        <v>273201.02</v>
      </c>
      <c r="C158" t="str">
        <f>VLOOKUP(A158,גיליון2!$B$5:$C$1319,2,0)</f>
        <v>מכבי פתח תקווה</v>
      </c>
    </row>
    <row r="159" spans="1:3" ht="12.75">
      <c r="A159" s="83">
        <v>580205052</v>
      </c>
      <c r="B159" s="84">
        <v>92107.8</v>
      </c>
      <c r="C159" t="str">
        <f>VLOOKUP(A159,גיליון2!$B$5:$C$1319,2,0)</f>
        <v>בית הספר לספורט השגי כרמיאל</v>
      </c>
    </row>
    <row r="160" spans="1:3" ht="12.75">
      <c r="A160" s="83">
        <v>580205383</v>
      </c>
      <c r="B160" s="84">
        <v>10346.59</v>
      </c>
      <c r="C160" t="str">
        <f>VLOOKUP(A160,גיליון2!$B$5:$C$1319,2,0)</f>
        <v>סקציה לשחייה מרכז ספורט ונופש נס-ציונה</v>
      </c>
    </row>
    <row r="161" spans="1:3" ht="12.75">
      <c r="A161" s="83">
        <v>580208536</v>
      </c>
      <c r="B161" s="84">
        <v>49228.55</v>
      </c>
      <c r="C161" t="str">
        <f>VLOOKUP(A161,גיליון2!$B$5:$C$1319,2,0)</f>
        <v>מכבי השרון נתניה</v>
      </c>
    </row>
    <row r="162" spans="1:3" ht="12.75">
      <c r="A162" s="83">
        <v>580208569</v>
      </c>
      <c r="B162" s="84">
        <v>4698.23</v>
      </c>
      <c r="C162" t="e">
        <f>VLOOKUP(A162,גיליון2!$B$5:$C$1319,2,0)</f>
        <v>#N/A</v>
      </c>
    </row>
    <row r="163" spans="1:3" ht="12.75">
      <c r="A163" s="83">
        <v>580209450</v>
      </c>
      <c r="B163" s="84">
        <v>215332.24</v>
      </c>
      <c r="C163" t="str">
        <f>VLOOKUP(A163,גיליון2!$B$5:$C$1319,2,0)</f>
        <v>מועדון עירוני להתעמלות חולון</v>
      </c>
    </row>
    <row r="164" spans="1:3" ht="12.75">
      <c r="A164" s="83">
        <v>580209955</v>
      </c>
      <c r="B164" s="84">
        <v>7471.36</v>
      </c>
      <c r="C164" t="str">
        <f>VLOOKUP(A164,גיליון2!$B$5:$C$1319,2,0)</f>
        <v>מועדון שחמט ע"ש שמואל שוחט (קרית חיים)</v>
      </c>
    </row>
    <row r="165" spans="1:3" ht="12.75">
      <c r="A165" s="83">
        <v>580212827</v>
      </c>
      <c r="B165" s="84">
        <v>12256.7</v>
      </c>
      <c r="C165" t="e">
        <f>VLOOKUP(A165,גיליון2!$B$5:$C$1319,2,0)</f>
        <v>#N/A</v>
      </c>
    </row>
    <row r="166" spans="1:3" ht="12.75">
      <c r="A166" s="83">
        <v>580215150</v>
      </c>
      <c r="B166" s="84">
        <v>91637.38</v>
      </c>
      <c r="C166" t="str">
        <f>VLOOKUP(A166,גיליון2!$B$5:$C$1319,2,0)</f>
        <v>מועדון קלעי חיפה</v>
      </c>
    </row>
    <row r="167" spans="1:3" ht="12.75">
      <c r="A167" s="83">
        <v>580215861</v>
      </c>
      <c r="B167" s="84">
        <v>456844</v>
      </c>
      <c r="C167" t="str">
        <f>VLOOKUP(A167,גיליון2!$B$5:$C$1319,2,0)</f>
        <v>מכבי קרית שרת כדוריד</v>
      </c>
    </row>
    <row r="168" spans="1:3" ht="12.75">
      <c r="A168" s="83">
        <v>580215978</v>
      </c>
      <c r="B168" s="84">
        <v>64066.94</v>
      </c>
      <c r="C168" t="str">
        <f>VLOOKUP(A168,גיליון2!$B$5:$C$1319,2,0)</f>
        <v>עמותת הספורט החינוך והתרבות בכפר תרשיחא</v>
      </c>
    </row>
    <row r="169" spans="1:3" ht="12.75">
      <c r="A169" s="83">
        <v>580216372</v>
      </c>
      <c r="B169" s="84">
        <v>940264.99</v>
      </c>
      <c r="C169" t="str">
        <f>VLOOKUP(A169,גיליון2!$B$5:$C$1319,2,0)</f>
        <v>עמותה לחינוך בלתי פורמלי נתניה</v>
      </c>
    </row>
    <row r="170" spans="1:3" ht="12.75">
      <c r="A170" s="83">
        <v>580216943</v>
      </c>
      <c r="B170" s="84">
        <v>32635.95</v>
      </c>
      <c r="C170" t="str">
        <f>VLOOKUP(A170,גיליון2!$B$5:$C$1319,2,0)</f>
        <v>מכבי נתניה איגרוף</v>
      </c>
    </row>
    <row r="171" spans="1:3" ht="12.75">
      <c r="A171" s="83">
        <v>580217446</v>
      </c>
      <c r="B171" s="83">
        <v>901.99</v>
      </c>
      <c r="C171" t="e">
        <f>VLOOKUP(A171,גיליון2!$B$5:$C$1319,2,0)</f>
        <v>#N/A</v>
      </c>
    </row>
    <row r="172" spans="1:3" ht="12.75">
      <c r="A172" s="83">
        <v>580217826</v>
      </c>
      <c r="B172" s="84">
        <v>9163.46</v>
      </c>
      <c r="C172" t="str">
        <f>VLOOKUP(A172,גיליון2!$B$5:$C$1319,2,0)</f>
        <v>מועדון איגרוף ירושלים</v>
      </c>
    </row>
    <row r="173" spans="1:3" ht="12.75">
      <c r="A173" s="83">
        <v>580218097</v>
      </c>
      <c r="B173" s="84">
        <v>7535.61</v>
      </c>
      <c r="C173" t="e">
        <f>VLOOKUP(A173,גיליון2!$B$5:$C$1319,2,0)</f>
        <v>#N/A</v>
      </c>
    </row>
    <row r="174" spans="1:3" ht="12.75">
      <c r="A174" s="83">
        <v>580219624</v>
      </c>
      <c r="B174" s="84">
        <v>14258.07</v>
      </c>
      <c r="C174" t="str">
        <f>VLOOKUP(A174,גיליון2!$B$5:$C$1319,2,0)</f>
        <v>האגודה לספורט על הקרח חיפה רבתי</v>
      </c>
    </row>
    <row r="175" spans="1:3" ht="12.75">
      <c r="A175" s="83">
        <v>580220580</v>
      </c>
      <c r="B175" s="84">
        <v>212609.62</v>
      </c>
      <c r="C175" t="str">
        <f>VLOOKUP(A175,גיליון2!$B$5:$C$1319,2,0)</f>
        <v>א.ב.א ראשל"צ</v>
      </c>
    </row>
    <row r="176" spans="1:3" ht="12.75">
      <c r="A176" s="83">
        <v>580221448</v>
      </c>
      <c r="B176" s="84">
        <v>27187.32</v>
      </c>
      <c r="C176" t="str">
        <f>VLOOKUP(A176,גיליון2!$B$5:$C$1319,2,0)</f>
        <v>הפועל חובטי אריה ב"ש</v>
      </c>
    </row>
    <row r="177" spans="1:3" ht="12.75">
      <c r="A177" s="83">
        <v>580221687</v>
      </c>
      <c r="B177" s="84">
        <v>111026.1</v>
      </c>
      <c r="C177" t="e">
        <f>VLOOKUP(A177,גיליון2!$B$5:$C$1319,2,0)</f>
        <v>#N/A</v>
      </c>
    </row>
    <row r="178" spans="1:3" ht="12.75">
      <c r="A178" s="83">
        <v>580221976</v>
      </c>
      <c r="B178" s="84">
        <v>62883.93</v>
      </c>
      <c r="C178" t="str">
        <f>VLOOKUP(A178,גיליון2!$B$5:$C$1319,2,0)</f>
        <v>אליצור פתח תקוה שחמט</v>
      </c>
    </row>
    <row r="179" spans="1:3" ht="12.75">
      <c r="A179" s="83">
        <v>580223543</v>
      </c>
      <c r="B179" s="84">
        <v>7016.85</v>
      </c>
      <c r="C179" t="str">
        <f>VLOOKUP(A179,גיליון2!$B$5:$C$1319,2,0)</f>
        <v>מועדון  שחמט-אליצור ירושלים</v>
      </c>
    </row>
    <row r="180" spans="1:3" ht="12.75">
      <c r="A180" s="83">
        <v>580224046</v>
      </c>
      <c r="B180" s="84">
        <v>389563.89</v>
      </c>
      <c r="C180" t="str">
        <f>VLOOKUP(A180,גיליון2!$B$5:$C$1319,2,0)</f>
        <v>הפועל אשדוד ענפים</v>
      </c>
    </row>
    <row r="181" spans="1:3" ht="12.75">
      <c r="A181" s="83">
        <v>580226082</v>
      </c>
      <c r="B181" s="84">
        <v>58071.69</v>
      </c>
      <c r="C181" t="str">
        <f>VLOOKUP(A181,גיליון2!$B$5:$C$1319,2,0)</f>
        <v>מועדון ראגבי השרון</v>
      </c>
    </row>
    <row r="182" spans="1:3" ht="12.75">
      <c r="A182" s="83">
        <v>580226504</v>
      </c>
      <c r="B182" s="84">
        <v>135079.15</v>
      </c>
      <c r="C182" t="str">
        <f>VLOOKUP(A182,גיליון2!$B$5:$C$1319,2,0)</f>
        <v>עמותת הפועל נווה שאנן כדור עף</v>
      </c>
    </row>
    <row r="183" spans="1:3" ht="12.75">
      <c r="A183" s="83">
        <v>580226785</v>
      </c>
      <c r="B183" s="84">
        <v>120612.52</v>
      </c>
      <c r="C183" t="str">
        <f>VLOOKUP(A183,גיליון2!$B$5:$C$1319,2,0)</f>
        <v>העמותה לקידום הספורט במרחבים</v>
      </c>
    </row>
    <row r="184" spans="1:3" ht="12.75">
      <c r="A184" s="83">
        <v>580226827</v>
      </c>
      <c r="B184" s="84">
        <v>181624.67</v>
      </c>
      <c r="C184" t="str">
        <f>VLOOKUP(A184,גיליון2!$B$5:$C$1319,2,0)</f>
        <v>איגוד ספורטיבי דתי אליצור קרית אתא כדורסל</v>
      </c>
    </row>
    <row r="185" spans="1:3" ht="12.75">
      <c r="A185" s="83">
        <v>580226934</v>
      </c>
      <c r="B185" s="84">
        <v>73280.14</v>
      </c>
      <c r="C185" t="str">
        <f>VLOOKUP(A185,גיליון2!$B$5:$C$1319,2,0)</f>
        <v>אתלטי הסימטה</v>
      </c>
    </row>
    <row r="186" spans="1:3" ht="12.75">
      <c r="A186" s="83">
        <v>580228443</v>
      </c>
      <c r="B186" s="84">
        <v>275944.79</v>
      </c>
      <c r="C186" t="str">
        <f>VLOOKUP(A186,גיליון2!$B$5:$C$1319,2,0)</f>
        <v>עמותת ידידי מכבי רמת חן</v>
      </c>
    </row>
    <row r="187" spans="1:3" ht="12.75">
      <c r="A187" s="83">
        <v>580230464</v>
      </c>
      <c r="B187" s="84">
        <v>38451.75</v>
      </c>
      <c r="C187" t="str">
        <f>VLOOKUP(A187,גיליון2!$B$5:$C$1319,2,0)</f>
        <v>אגודת שחייה מכבי נהרייה</v>
      </c>
    </row>
    <row r="188" spans="1:3" ht="12.75">
      <c r="A188" s="83">
        <v>580231843</v>
      </c>
      <c r="B188" s="84">
        <v>72254.38</v>
      </c>
      <c r="C188" t="str">
        <f>VLOOKUP(A188,גיליון2!$B$5:$C$1319,2,0)</f>
        <v>רוכבי הנגב</v>
      </c>
    </row>
    <row r="189" spans="1:3" ht="12.75">
      <c r="A189" s="83">
        <v>580233161</v>
      </c>
      <c r="B189" s="84">
        <v>163920.61</v>
      </c>
      <c r="C189" t="str">
        <f>VLOOKUP(A189,גיליון2!$B$5:$C$1319,2,0)</f>
        <v>מכבי צור שלום</v>
      </c>
    </row>
    <row r="190" spans="1:3" ht="12.75">
      <c r="A190" s="83">
        <v>580233179</v>
      </c>
      <c r="B190" s="84">
        <v>297974.78</v>
      </c>
      <c r="C190" t="str">
        <f>VLOOKUP(A190,גיליון2!$B$5:$C$1319,2,0)</f>
        <v>א.כ. נס ציונה</v>
      </c>
    </row>
    <row r="191" spans="1:3" ht="12.75">
      <c r="A191" s="83">
        <v>580233245</v>
      </c>
      <c r="B191" s="84">
        <v>19860.35</v>
      </c>
      <c r="C191" t="str">
        <f>VLOOKUP(A191,גיליון2!$B$5:$C$1319,2,0)</f>
        <v>הפועל הר הכרמל</v>
      </c>
    </row>
    <row r="192" spans="1:3" ht="12.75">
      <c r="A192" s="83">
        <v>580233997</v>
      </c>
      <c r="B192" s="84">
        <v>230622.14</v>
      </c>
      <c r="C192" t="str">
        <f>VLOOKUP(A192,גיליון2!$B$5:$C$1319,2,0)</f>
        <v>מועדון כדורסל מכבי תל אביב</v>
      </c>
    </row>
    <row r="193" spans="1:3" ht="12.75">
      <c r="A193" s="83">
        <v>580234581</v>
      </c>
      <c r="B193" s="84">
        <v>37970.73</v>
      </c>
      <c r="C193" t="e">
        <f>VLOOKUP(A193,גיליון2!$B$5:$C$1319,2,0)</f>
        <v>#N/A</v>
      </c>
    </row>
    <row r="194" spans="1:3" ht="12.75">
      <c r="A194" s="83">
        <v>580235687</v>
      </c>
      <c r="B194" s="84">
        <v>97772.2</v>
      </c>
      <c r="C194" t="str">
        <f>VLOOKUP(A194,גיליון2!$B$5:$C$1319,2,0)</f>
        <v>אליצור רעננה</v>
      </c>
    </row>
    <row r="195" spans="1:3" ht="12.75">
      <c r="A195" s="83">
        <v>580235869</v>
      </c>
      <c r="B195" s="84">
        <v>119809.48</v>
      </c>
      <c r="C195" t="str">
        <f>VLOOKUP(A195,גיליון2!$B$5:$C$1319,2,0)</f>
        <v>מועדון תריאטלון איילות- תל אביב דן</v>
      </c>
    </row>
    <row r="196" spans="1:3" ht="12.75">
      <c r="A196" s="83">
        <v>580238160</v>
      </c>
      <c r="B196" s="84">
        <v>175129.31</v>
      </c>
      <c r="C196" t="str">
        <f>VLOOKUP(A196,גיליון2!$B$5:$C$1319,2,0)</f>
        <v>הפועל פתח תקווה- כדור מים</v>
      </c>
    </row>
    <row r="197" spans="1:3" ht="12.75">
      <c r="A197" s="83">
        <v>580238178</v>
      </c>
      <c r="B197" s="84">
        <v>64410.19</v>
      </c>
      <c r="C197" t="str">
        <f>VLOOKUP(A197,גיליון2!$B$5:$C$1319,2,0)</f>
        <v>הפועל עירוני יוקנעם</v>
      </c>
    </row>
    <row r="198" spans="1:3" ht="12.75">
      <c r="A198" s="83">
        <v>580241610</v>
      </c>
      <c r="B198" s="84">
        <v>65638.08</v>
      </c>
      <c r="C198" t="e">
        <f>VLOOKUP(A198,גיליון2!$B$5:$C$1319,2,0)</f>
        <v>#N/A</v>
      </c>
    </row>
    <row r="199" spans="1:3" ht="12.75">
      <c r="A199" s="83">
        <v>580241644</v>
      </c>
      <c r="B199" s="84">
        <v>96573.75</v>
      </c>
      <c r="C199" t="str">
        <f>VLOOKUP(A199,גיליון2!$B$5:$C$1319,2,0)</f>
        <v>העמותה לקידום השחייה והשחיינים קרית ביאליק</v>
      </c>
    </row>
    <row r="200" spans="1:3" ht="12.75">
      <c r="A200" s="83">
        <v>580245348</v>
      </c>
      <c r="B200" s="84">
        <v>54788.07</v>
      </c>
      <c r="C200" t="str">
        <f>VLOOKUP(A200,גיליון2!$B$5:$C$1319,2,0)</f>
        <v>עמותת הגליל לקידום הספורט</v>
      </c>
    </row>
    <row r="201" spans="1:3" ht="12.75">
      <c r="A201" s="83">
        <v>580245553</v>
      </c>
      <c r="B201" s="84">
        <v>6648.36</v>
      </c>
      <c r="C201" t="str">
        <f>VLOOKUP(A201,גיליון2!$B$5:$C$1319,2,0)</f>
        <v>הפועל העמותה לקידום איקיגיצו</v>
      </c>
    </row>
    <row r="202" spans="1:3" ht="12.75">
      <c r="A202" s="83">
        <v>580245561</v>
      </c>
      <c r="B202" s="84">
        <v>26629.47</v>
      </c>
      <c r="C202" t="str">
        <f>VLOOKUP(A202,גיליון2!$B$5:$C$1319,2,0)</f>
        <v>הפועל כפר סבא בית ברל</v>
      </c>
    </row>
    <row r="203" spans="1:3" ht="12.75">
      <c r="A203" s="83">
        <v>580245736</v>
      </c>
      <c r="B203" s="84">
        <v>64069.77</v>
      </c>
      <c r="C203" t="str">
        <f>VLOOKUP(A203,גיליון2!$B$5:$C$1319,2,0)</f>
        <v>העמותה לקידום התעמלות אומנותית בכפר סבא</v>
      </c>
    </row>
    <row r="204" spans="1:3" ht="12.75">
      <c r="A204" s="83">
        <v>580246783</v>
      </c>
      <c r="B204" s="84">
        <v>17863.89</v>
      </c>
      <c r="C204" t="e">
        <f>VLOOKUP(A204,גיליון2!$B$5:$C$1319,2,0)</f>
        <v>#N/A</v>
      </c>
    </row>
    <row r="205" spans="1:3" ht="12.75">
      <c r="A205" s="83">
        <v>580247724</v>
      </c>
      <c r="B205" s="84">
        <v>41316.03</v>
      </c>
      <c r="C205" t="str">
        <f>VLOOKUP(A205,גיליון2!$B$5:$C$1319,2,0)</f>
        <v>מועדוני האבקות באר שבע</v>
      </c>
    </row>
    <row r="206" spans="1:3" ht="12.75">
      <c r="A206" s="83">
        <v>580248342</v>
      </c>
      <c r="B206" s="84">
        <v>110635.66</v>
      </c>
      <c r="C206" t="str">
        <f>VLOOKUP(A206,גיליון2!$B$5:$C$1319,2,0)</f>
        <v>עמותת אליצור "מייסדים" כרמיאל</v>
      </c>
    </row>
    <row r="207" spans="1:3" ht="12.75">
      <c r="A207" s="83">
        <v>580250660</v>
      </c>
      <c r="B207" s="84">
        <v>5100.77</v>
      </c>
      <c r="C207" t="e">
        <f>VLOOKUP(A207,גיליון2!$B$5:$C$1319,2,0)</f>
        <v>#N/A</v>
      </c>
    </row>
    <row r="208" spans="1:3" ht="12.75">
      <c r="A208" s="83">
        <v>580250942</v>
      </c>
      <c r="B208" s="84">
        <v>269709.62</v>
      </c>
      <c r="C208" t="str">
        <f>VLOOKUP(A208,גיליון2!$B$5:$C$1319,2,0)</f>
        <v>קבוצת ותיקי אשקלון - כדורגל</v>
      </c>
    </row>
    <row r="209" spans="1:3" ht="12.75">
      <c r="A209" s="83">
        <v>580251296</v>
      </c>
      <c r="B209" s="84">
        <v>572951.47</v>
      </c>
      <c r="C209" t="str">
        <f>VLOOKUP(A209,גיליון2!$B$5:$C$1319,2,0)</f>
        <v>הפועל כפר סבא מועדון כדורעף</v>
      </c>
    </row>
    <row r="210" spans="1:3" ht="12.75">
      <c r="A210" s="83">
        <v>580251791</v>
      </c>
      <c r="B210" s="84">
        <v>190106</v>
      </c>
      <c r="C210" t="str">
        <f>VLOOKUP(A210,גיליון2!$B$5:$C$1319,2,0)</f>
        <v>עמותת כדורגל הפועל מגדל העמק</v>
      </c>
    </row>
    <row r="211" spans="1:3" ht="12.75">
      <c r="A211" s="83">
        <v>580251957</v>
      </c>
      <c r="B211" s="84">
        <v>50500.05</v>
      </c>
      <c r="C211" t="str">
        <f>VLOOKUP(A211,גיליון2!$B$5:$C$1319,2,0)</f>
        <v>מועדון טניס גלי השרון כפר סבא</v>
      </c>
    </row>
    <row r="212" spans="1:3" ht="12.75">
      <c r="A212" s="83">
        <v>580252740</v>
      </c>
      <c r="B212" s="84">
        <v>300782.96</v>
      </c>
      <c r="C212" t="str">
        <f>VLOOKUP(A212,גיליון2!$B$5:$C$1319,2,0)</f>
        <v>הפועל בני סכנין</v>
      </c>
    </row>
    <row r="213" spans="1:3" ht="12.75">
      <c r="A213" s="83">
        <v>580253367</v>
      </c>
      <c r="B213" s="84">
        <v>34520.94</v>
      </c>
      <c r="C213" t="e">
        <f>VLOOKUP(A213,גיליון2!$B$5:$C$1319,2,0)</f>
        <v>#N/A</v>
      </c>
    </row>
    <row r="214" spans="1:3" ht="12.75">
      <c r="A214" s="83">
        <v>580253375</v>
      </c>
      <c r="B214" s="84">
        <v>13931.45</v>
      </c>
      <c r="C214" t="str">
        <f>VLOOKUP(A214,גיליון2!$B$5:$C$1319,2,0)</f>
        <v>רומח אבירים סיוף עכו</v>
      </c>
    </row>
    <row r="215" spans="1:3" ht="12.75">
      <c r="A215" s="83">
        <v>580253532</v>
      </c>
      <c r="B215" s="84">
        <v>4236.78</v>
      </c>
      <c r="C215" t="str">
        <f>VLOOKUP(A215,גיליון2!$B$5:$C$1319,2,0)</f>
        <v>התאחדות הישראלית לברידג סניף הקריות</v>
      </c>
    </row>
    <row r="216" spans="1:3" ht="12.75">
      <c r="A216" s="83">
        <v>580253714</v>
      </c>
      <c r="B216" s="84">
        <v>57161.78</v>
      </c>
      <c r="C216" t="str">
        <f>VLOOKUP(A216,גיליון2!$B$5:$C$1319,2,0)</f>
        <v>מועדון ספורט הוד השרון</v>
      </c>
    </row>
    <row r="217" spans="1:3" ht="12.75">
      <c r="A217" s="83">
        <v>580253904</v>
      </c>
      <c r="B217" s="84">
        <v>5237.49</v>
      </c>
      <c r="C217" t="e">
        <f>VLOOKUP(A217,גיליון2!$B$5:$C$1319,2,0)</f>
        <v>#N/A</v>
      </c>
    </row>
    <row r="218" spans="1:3" ht="12.75">
      <c r="A218" s="83">
        <v>580254019</v>
      </c>
      <c r="B218" s="84">
        <v>33630.07</v>
      </c>
      <c r="C218" t="str">
        <f>VLOOKUP(A218,גיליון2!$B$5:$C$1319,2,0)</f>
        <v>אליצור נוה דוד רמלה כדורסל</v>
      </c>
    </row>
    <row r="219" spans="1:3" ht="12.75">
      <c r="A219" s="83">
        <v>580254357</v>
      </c>
      <c r="B219" s="84">
        <v>141869.93</v>
      </c>
      <c r="C219" t="str">
        <f>VLOOKUP(A219,גיליון2!$B$5:$C$1319,2,0)</f>
        <v>אליצור ירושלים כדורסל</v>
      </c>
    </row>
    <row r="220" spans="1:3" ht="12.75">
      <c r="A220" s="83">
        <v>580255107</v>
      </c>
      <c r="B220" s="84">
        <v>60690.04</v>
      </c>
      <c r="C220" t="str">
        <f>VLOOKUP(A220,גיליון2!$B$5:$C$1319,2,0)</f>
        <v>הפועל אעבלין לכדורסל</v>
      </c>
    </row>
    <row r="221" spans="1:3" ht="12.75">
      <c r="A221" s="83">
        <v>580255149</v>
      </c>
      <c r="B221" s="84">
        <v>10577.92</v>
      </c>
      <c r="C221" t="str">
        <f>VLOOKUP(A221,גיליון2!$B$5:$C$1319,2,0)</f>
        <v>שוטוקאן ריו נהריה 1996</v>
      </c>
    </row>
    <row r="222" spans="1:3" ht="12.75">
      <c r="A222" s="83">
        <v>580255842</v>
      </c>
      <c r="B222" s="84">
        <v>16957.73</v>
      </c>
      <c r="C222" t="str">
        <f>VLOOKUP(A222,גיליון2!$B$5:$C$1319,2,0)</f>
        <v>הפועל טבעון טניס</v>
      </c>
    </row>
    <row r="223" spans="1:3" ht="12.75">
      <c r="A223" s="83">
        <v>580258085</v>
      </c>
      <c r="B223" s="84">
        <v>80538.4</v>
      </c>
      <c r="C223" t="str">
        <f>VLOOKUP(A223,גיליון2!$B$5:$C$1319,2,0)</f>
        <v>מודעון הספורט קריית חיים</v>
      </c>
    </row>
    <row r="224" spans="1:3" ht="12.75">
      <c r="A224" s="83">
        <v>580258119</v>
      </c>
      <c r="B224" s="84">
        <v>3846.78</v>
      </c>
      <c r="C224" t="str">
        <f>VLOOKUP(A224,גיליון2!$B$5:$C$1319,2,0)</f>
        <v>ביתר אשדוד טניס שולחן</v>
      </c>
    </row>
    <row r="225" spans="1:3" ht="12.75">
      <c r="A225" s="83">
        <v>580258952</v>
      </c>
      <c r="B225" s="84">
        <v>49486.88</v>
      </c>
      <c r="C225" t="str">
        <f>VLOOKUP(A225,גיליון2!$B$5:$C$1319,2,0)</f>
        <v>מועדון קרח בת ים</v>
      </c>
    </row>
    <row r="226" spans="1:3" ht="12.75">
      <c r="A226" s="83">
        <v>580259075</v>
      </c>
      <c r="B226" s="84">
        <v>62805.84</v>
      </c>
      <c r="C226" t="str">
        <f>VLOOKUP(A226,גיליון2!$B$5:$C$1319,2,0)</f>
        <v>ביתר אחוזה</v>
      </c>
    </row>
    <row r="227" spans="1:3" ht="12.75">
      <c r="A227" s="83">
        <v>580259109</v>
      </c>
      <c r="B227" s="84">
        <v>511912.12</v>
      </c>
      <c r="C227" t="str">
        <f>VLOOKUP(A227,גיליון2!$B$5:$C$1319,2,0)</f>
        <v>הפועל כפר סבא כדורסל</v>
      </c>
    </row>
    <row r="228" spans="1:3" ht="12.75">
      <c r="A228" s="83">
        <v>580262251</v>
      </c>
      <c r="B228" s="84">
        <v>238152.72</v>
      </c>
      <c r="C228" t="str">
        <f>VLOOKUP(A228,גיליון2!$B$5:$C$1319,2,0)</f>
        <v>מכבי פתח תקווה עצמאות</v>
      </c>
    </row>
    <row r="229" spans="1:3" ht="12.75">
      <c r="A229" s="83">
        <v>580262582</v>
      </c>
      <c r="B229" s="84">
        <v>39405.19</v>
      </c>
      <c r="C229" t="str">
        <f>VLOOKUP(A229,גיליון2!$B$5:$C$1319,2,0)</f>
        <v>מועדון שחמ"ט-כפר סבא</v>
      </c>
    </row>
    <row r="230" spans="1:3" ht="12.75">
      <c r="A230" s="83">
        <v>580264851</v>
      </c>
      <c r="B230" s="84">
        <v>56377.63</v>
      </c>
      <c r="C230" t="str">
        <f>VLOOKUP(A230,גיליון2!$B$5:$C$1319,2,0)</f>
        <v>מועדון שחמט אשדוד</v>
      </c>
    </row>
    <row r="231" spans="1:3" ht="12.75">
      <c r="A231" s="83">
        <v>580266492</v>
      </c>
      <c r="B231" s="84">
        <v>10467.64</v>
      </c>
      <c r="C231" t="e">
        <f>VLOOKUP(A231,גיליון2!$B$5:$C$1319,2,0)</f>
        <v>#N/A</v>
      </c>
    </row>
    <row r="232" spans="1:3" ht="12.75">
      <c r="A232" s="83">
        <v>580266500</v>
      </c>
      <c r="B232" s="84">
        <v>132079.17</v>
      </c>
      <c r="C232" t="e">
        <f>VLOOKUP(A232,גיליון2!$B$5:$C$1319,2,0)</f>
        <v>#N/A</v>
      </c>
    </row>
    <row r="233" spans="1:3" ht="12.75">
      <c r="A233" s="83">
        <v>580267334</v>
      </c>
      <c r="B233" s="84">
        <v>113120.92</v>
      </c>
      <c r="C233" t="e">
        <f>VLOOKUP(A233,גיליון2!$B$5:$C$1319,2,0)</f>
        <v>#N/A</v>
      </c>
    </row>
    <row r="234" spans="1:3" ht="12.75">
      <c r="A234" s="83">
        <v>580270544</v>
      </c>
      <c r="B234" s="84">
        <v>9867.83</v>
      </c>
      <c r="C234" t="str">
        <f>VLOOKUP(A234,גיליון2!$B$5:$C$1319,2,0)</f>
        <v>עמותה לקידום הטניס בבית ים</v>
      </c>
    </row>
    <row r="235" spans="1:3" ht="12.75">
      <c r="A235" s="83">
        <v>580271013</v>
      </c>
      <c r="B235" s="84">
        <v>22401.14</v>
      </c>
      <c r="C235" t="str">
        <f>VLOOKUP(A235,גיליון2!$B$5:$C$1319,2,0)</f>
        <v>כפר קאסם לחרשים</v>
      </c>
    </row>
    <row r="236" spans="1:3" ht="12.75">
      <c r="A236" s="83">
        <v>580272128</v>
      </c>
      <c r="B236" s="84">
        <v>16120.44</v>
      </c>
      <c r="C236" t="str">
        <f>VLOOKUP(A236,גיליון2!$B$5:$C$1319,2,0)</f>
        <v>הפועל גבעת נשר</v>
      </c>
    </row>
    <row r="237" spans="1:3" ht="12.75">
      <c r="A237" s="83">
        <v>580272177</v>
      </c>
      <c r="B237" s="84">
        <v>63779.64</v>
      </c>
      <c r="C237" t="str">
        <f>VLOOKUP(A237,גיליון2!$B$5:$C$1319,2,0)</f>
        <v> הווארנג טאקוונדו ירושלים</v>
      </c>
    </row>
    <row r="238" spans="1:3" ht="12.75">
      <c r="A238" s="83">
        <v>580273696</v>
      </c>
      <c r="B238" s="84">
        <v>159032.67</v>
      </c>
      <c r="C238" t="str">
        <f>VLOOKUP(A238,גיליון2!$B$5:$C$1319,2,0)</f>
        <v>עמותת ידידי ביתר רמת גן - כדורגל</v>
      </c>
    </row>
    <row r="239" spans="1:3" ht="12.75">
      <c r="A239" s="83">
        <v>580274173</v>
      </c>
      <c r="B239" s="84">
        <v>1187629.69</v>
      </c>
      <c r="C239" t="str">
        <f>VLOOKUP(A239,גיליון2!$B$5:$C$1319,2,0)</f>
        <v>מכבי חיפה כרמל</v>
      </c>
    </row>
    <row r="240" spans="1:3" ht="12.75">
      <c r="A240" s="83">
        <v>580274629</v>
      </c>
      <c r="B240" s="84">
        <v>169402.34</v>
      </c>
      <c r="C240" t="e">
        <f>VLOOKUP(A240,גיליון2!$B$5:$C$1319,2,0)</f>
        <v>#N/A</v>
      </c>
    </row>
    <row r="241" spans="1:3" ht="12.75">
      <c r="A241" s="83">
        <v>580275675</v>
      </c>
      <c r="B241" s="84">
        <v>8238.58</v>
      </c>
      <c r="C241" t="str">
        <f>VLOOKUP(A241,גיליון2!$B$5:$C$1319,2,0)</f>
        <v>מועדון הטניס שולחן הפועל עירוני נצרת עלית</v>
      </c>
    </row>
    <row r="242" spans="1:3" ht="12.75">
      <c r="A242" s="83">
        <v>580278315</v>
      </c>
      <c r="B242" s="84">
        <v>45438.8</v>
      </c>
      <c r="C242" t="str">
        <f>VLOOKUP(A242,גיליון2!$B$5:$C$1319,2,0)</f>
        <v>מועדון הסיוף הפועל כפר סבא</v>
      </c>
    </row>
    <row r="243" spans="1:3" ht="12.75">
      <c r="A243" s="83">
        <v>580278463</v>
      </c>
      <c r="B243" s="84">
        <v>637857.86</v>
      </c>
      <c r="C243" t="str">
        <f>VLOOKUP(A243,גיליון2!$B$5:$C$1319,2,0)</f>
        <v>העמותה לקידום הנוער בכדורסל -הפועל ירושלים</v>
      </c>
    </row>
    <row r="244" spans="1:3" ht="12.75">
      <c r="A244" s="83">
        <v>580279388</v>
      </c>
      <c r="B244" s="84">
        <v>71714.46</v>
      </c>
      <c r="C244" t="str">
        <f>VLOOKUP(A244,גיליון2!$B$5:$C$1319,2,0)</f>
        <v>איגוד ספורטיבי דתי אליצור רמת גן</v>
      </c>
    </row>
    <row r="245" spans="1:3" ht="12.75">
      <c r="A245" s="83">
        <v>580279875</v>
      </c>
      <c r="B245" s="84">
        <v>23741.43</v>
      </c>
      <c r="C245" t="e">
        <f>VLOOKUP(A245,גיליון2!$B$5:$C$1319,2,0)</f>
        <v>#N/A</v>
      </c>
    </row>
    <row r="246" spans="1:3" ht="12.75">
      <c r="A246" s="83">
        <v>580280204</v>
      </c>
      <c r="B246" s="84">
        <v>232338.99</v>
      </c>
      <c r="C246" t="str">
        <f>VLOOKUP(A246,גיליון2!$B$5:$C$1319,2,0)</f>
        <v>מכבי מתנס תל כביר</v>
      </c>
    </row>
    <row r="247" spans="1:3" ht="12.75">
      <c r="A247" s="83">
        <v>580280899</v>
      </c>
      <c r="B247" s="84">
        <v>13922.2</v>
      </c>
      <c r="C247" t="str">
        <f>VLOOKUP(A247,גיליון2!$B$5:$C$1319,2,0)</f>
        <v>מועדון הקליעה הפועל כפר סבא</v>
      </c>
    </row>
    <row r="248" spans="1:3" ht="12.75">
      <c r="A248" s="83">
        <v>580283323</v>
      </c>
      <c r="B248" s="84">
        <v>101043.78</v>
      </c>
      <c r="C248" t="str">
        <f>VLOOKUP(A248,גיליון2!$B$5:$C$1319,2,0)</f>
        <v>עמותה לקידום ספורט בכדור יד ברמת גן</v>
      </c>
    </row>
    <row r="249" spans="1:3" ht="12.75">
      <c r="A249" s="83">
        <v>580283950</v>
      </c>
      <c r="B249" s="84">
        <v>104392.46</v>
      </c>
      <c r="C249" t="str">
        <f>VLOOKUP(A249,גיליון2!$B$5:$C$1319,2,0)</f>
        <v>קרן קרית מלאכי לפיתוח הספורט</v>
      </c>
    </row>
    <row r="250" spans="1:3" ht="12.75">
      <c r="A250" s="83">
        <v>580284719</v>
      </c>
      <c r="B250" s="84">
        <v>56684.36</v>
      </c>
      <c r="C250" t="str">
        <f>VLOOKUP(A250,גיליון2!$B$5:$C$1319,2,0)</f>
        <v>העמותה לקידום הספורט בנצרת עלית</v>
      </c>
    </row>
    <row r="251" spans="1:3" ht="12.75">
      <c r="A251" s="83">
        <v>580284933</v>
      </c>
      <c r="B251" s="84">
        <v>175082.67</v>
      </c>
      <c r="C251" t="str">
        <f>VLOOKUP(A251,גיליון2!$B$5:$C$1319,2,0)</f>
        <v>אגודת ספורט הפועל עומר</v>
      </c>
    </row>
    <row r="252" spans="1:3" ht="12.75">
      <c r="A252" s="83">
        <v>580290112</v>
      </c>
      <c r="B252" s="84">
        <v>163396.9</v>
      </c>
      <c r="C252" t="str">
        <f>VLOOKUP(A252,גיליון2!$B$5:$C$1319,2,0)</f>
        <v>שמשון בני טייבה</v>
      </c>
    </row>
    <row r="253" spans="1:3" ht="12.75">
      <c r="A253" s="83">
        <v>580290948</v>
      </c>
      <c r="B253" s="84">
        <v>191677.13</v>
      </c>
      <c r="C253" t="e">
        <f>VLOOKUP(A253,גיליון2!$B$5:$C$1319,2,0)</f>
        <v>#N/A</v>
      </c>
    </row>
    <row r="254" spans="1:3" ht="12.75">
      <c r="A254" s="83">
        <v>580291730</v>
      </c>
      <c r="B254" s="84">
        <v>31067.63</v>
      </c>
      <c r="C254" t="str">
        <f>VLOOKUP(A254,גיליון2!$B$5:$C$1319,2,0)</f>
        <v>כפפות הזהב נהריה</v>
      </c>
    </row>
    <row r="255" spans="1:3" ht="12.75">
      <c r="A255" s="83">
        <v>580292134</v>
      </c>
      <c r="B255" s="84">
        <v>236890.58</v>
      </c>
      <c r="C255" t="str">
        <f>VLOOKUP(A255,גיליון2!$B$5:$C$1319,2,0)</f>
        <v>ביתר כפר כנא</v>
      </c>
    </row>
    <row r="256" spans="1:3" ht="12.75">
      <c r="A256" s="83">
        <v>580293348</v>
      </c>
      <c r="B256" s="84">
        <v>25397.02</v>
      </c>
      <c r="C256" t="e">
        <f>VLOOKUP(A256,גיליון2!$B$5:$C$1319,2,0)</f>
        <v>#N/A</v>
      </c>
    </row>
    <row r="257" spans="1:3" ht="12.75">
      <c r="A257" s="83">
        <v>580294247</v>
      </c>
      <c r="B257" s="84">
        <v>160080.09</v>
      </c>
      <c r="C257" t="str">
        <f>VLOOKUP(A257,גיליון2!$B$5:$C$1319,2,0)</f>
        <v>ב"ס  לכדורגל פרדס חנה</v>
      </c>
    </row>
    <row r="258" spans="1:3" ht="12.75">
      <c r="A258" s="83">
        <v>580295129</v>
      </c>
      <c r="B258" s="84">
        <v>81698.45</v>
      </c>
      <c r="C258" t="str">
        <f>VLOOKUP(A258,גיליון2!$B$5:$C$1319,2,0)</f>
        <v>כנות</v>
      </c>
    </row>
    <row r="259" spans="1:3" ht="12.75">
      <c r="A259" s="83">
        <v>580295251</v>
      </c>
      <c r="B259" s="84">
        <v>90645.3</v>
      </c>
      <c r="C259" t="str">
        <f>VLOOKUP(A259,גיליון2!$B$5:$C$1319,2,0)</f>
        <v>העמותה לקידום הספורט ביהוד</v>
      </c>
    </row>
    <row r="260" spans="1:3" ht="12.75">
      <c r="A260" s="83">
        <v>580295731</v>
      </c>
      <c r="B260" s="84">
        <v>257282.18</v>
      </c>
      <c r="C260" t="str">
        <f>VLOOKUP(A260,גיליון2!$B$5:$C$1319,2,0)</f>
        <v>עמותה לקידום הכדורעף בקרית אתא</v>
      </c>
    </row>
    <row r="261" spans="1:3" ht="12.75">
      <c r="A261" s="83">
        <v>580297638</v>
      </c>
      <c r="B261" s="84">
        <v>49136.22</v>
      </c>
      <c r="C261" t="str">
        <f>VLOOKUP(A261,גיליון2!$B$5:$C$1319,2,0)</f>
        <v>הפועל ת''א-עמותת מחלקת ההתעמלות</v>
      </c>
    </row>
    <row r="262" spans="1:3" ht="12.75">
      <c r="A262" s="83">
        <v>580297984</v>
      </c>
      <c r="B262" s="84">
        <v>230161.16</v>
      </c>
      <c r="C262" t="str">
        <f>VLOOKUP(A262,גיליון2!$B$5:$C$1319,2,0)</f>
        <v>מיטב תל אביב</v>
      </c>
    </row>
    <row r="263" spans="1:3" ht="12.75">
      <c r="A263" s="83">
        <v>580299485</v>
      </c>
      <c r="B263" s="84">
        <v>165902.97</v>
      </c>
      <c r="C263" t="str">
        <f>VLOOKUP(A263,גיליון2!$B$5:$C$1319,2,0)</f>
        <v>מיטב קידום מודיעין</v>
      </c>
    </row>
    <row r="264" spans="1:3" ht="12.75">
      <c r="A264" s="83">
        <v>580299493</v>
      </c>
      <c r="B264" s="84">
        <v>665739.91</v>
      </c>
      <c r="C264" t="str">
        <f>VLOOKUP(A264,גיליון2!$B$5:$C$1319,2,0)</f>
        <v>מיטב ירושלים</v>
      </c>
    </row>
    <row r="265" spans="1:3" ht="12.75">
      <c r="A265" s="83">
        <v>580301745</v>
      </c>
      <c r="B265" s="84">
        <v>71675.81</v>
      </c>
      <c r="C265" t="str">
        <f>VLOOKUP(A265,גיליון2!$B$5:$C$1319,2,0)</f>
        <v>מכבי נשר עזריה</v>
      </c>
    </row>
    <row r="266" spans="1:3" ht="12.75">
      <c r="A266" s="83">
        <v>580301794</v>
      </c>
      <c r="B266" s="84">
        <v>66510.91</v>
      </c>
      <c r="C266" t="str">
        <f>VLOOKUP(A266,גיליון2!$B$5:$C$1319,2,0)</f>
        <v>מכבי נווה שאנן חיפה</v>
      </c>
    </row>
    <row r="267" spans="1:3" ht="12.75">
      <c r="A267" s="83">
        <v>580302081</v>
      </c>
      <c r="B267" s="84">
        <v>171665.6</v>
      </c>
      <c r="C267" t="str">
        <f>VLOOKUP(A267,גיליון2!$B$5:$C$1319,2,0)</f>
        <v>אחי יהודה</v>
      </c>
    </row>
    <row r="268" spans="1:3" ht="12.75">
      <c r="A268" s="83">
        <v>580302891</v>
      </c>
      <c r="B268" s="84">
        <v>56560.47</v>
      </c>
      <c r="C268" t="e">
        <f>VLOOKUP(A268,גיליון2!$B$5:$C$1319,2,0)</f>
        <v>#N/A</v>
      </c>
    </row>
    <row r="269" spans="1:3" ht="12.75">
      <c r="A269" s="83">
        <v>580304244</v>
      </c>
      <c r="B269" s="84">
        <v>32819.03</v>
      </c>
      <c r="C269" t="e">
        <f>VLOOKUP(A269,גיליון2!$B$5:$C$1319,2,0)</f>
        <v>#N/A</v>
      </c>
    </row>
    <row r="270" spans="1:3" ht="12.75">
      <c r="A270" s="83">
        <v>580304681</v>
      </c>
      <c r="B270" s="84">
        <v>2745.72</v>
      </c>
      <c r="C270" t="str">
        <f>VLOOKUP(A270,גיליון2!$B$5:$C$1319,2,0)</f>
        <v>עמותת שח קריות והצפון (אליצור קרית שמואל)</v>
      </c>
    </row>
    <row r="271" spans="1:3" ht="12.75">
      <c r="A271" s="83">
        <v>580305266</v>
      </c>
      <c r="B271" s="84">
        <v>449984.84</v>
      </c>
      <c r="C271" t="str">
        <f>VLOOKUP(A271,גיליון2!$B$5:$C$1319,2,0)</f>
        <v>מועצה איזורית גליל עליון</v>
      </c>
    </row>
    <row r="272" spans="1:3" ht="12.75">
      <c r="A272" s="83">
        <v>580307411</v>
      </c>
      <c r="B272" s="84">
        <v>399774.75</v>
      </c>
      <c r="C272" t="str">
        <f>VLOOKUP(A272,גיליון2!$B$5:$C$1319,2,0)</f>
        <v>מועדון הכדורסל הוד השרון</v>
      </c>
    </row>
    <row r="273" spans="1:3" ht="12.75">
      <c r="A273" s="83">
        <v>580308062</v>
      </c>
      <c r="B273" s="84">
        <v>128517.43</v>
      </c>
      <c r="C273" t="str">
        <f>VLOOKUP(A273,גיליון2!$B$5:$C$1319,2,0)</f>
        <v>כוכב דוד קרית גת</v>
      </c>
    </row>
    <row r="274" spans="1:3" ht="12.75">
      <c r="A274" s="83">
        <v>580308427</v>
      </c>
      <c r="B274" s="84">
        <v>130994.17</v>
      </c>
      <c r="C274" t="str">
        <f>VLOOKUP(A274,גיליון2!$B$5:$C$1319,2,0)</f>
        <v>העמותה לקידום השיט בנהריה</v>
      </c>
    </row>
    <row r="275" spans="1:3" ht="12.75">
      <c r="A275" s="83">
        <v>580309417</v>
      </c>
      <c r="B275" s="84">
        <v>62239.56</v>
      </c>
      <c r="C275" t="str">
        <f>VLOOKUP(A275,גיליון2!$B$5:$C$1319,2,0)</f>
        <v>עמותה לקידום הקליעה הפועל אשקלון</v>
      </c>
    </row>
    <row r="276" spans="1:3" ht="12.75">
      <c r="A276" s="83">
        <v>580309680</v>
      </c>
      <c r="B276" s="84">
        <v>104230.96</v>
      </c>
      <c r="C276" t="str">
        <f>VLOOKUP(A276,גיליון2!$B$5:$C$1319,2,0)</f>
        <v>עמותה לקידום הכדורסל "הפועל סביונים גן יבנה"</v>
      </c>
    </row>
    <row r="277" spans="1:3" ht="12.75">
      <c r="A277" s="83">
        <v>580310266</v>
      </c>
      <c r="B277" s="84">
        <v>412763.2</v>
      </c>
      <c r="C277" t="str">
        <f>VLOOKUP(A277,גיליון2!$B$5:$C$1319,2,0)</f>
        <v>מכבי הארזים רמת גן</v>
      </c>
    </row>
    <row r="278" spans="1:3" ht="12.75">
      <c r="A278" s="83">
        <v>580310373</v>
      </c>
      <c r="B278" s="84">
        <v>165630.2</v>
      </c>
      <c r="C278" t="str">
        <f>VLOOKUP(A278,גיליון2!$B$5:$C$1319,2,0)</f>
        <v>מועדון הקליעה רעננה</v>
      </c>
    </row>
    <row r="279" spans="1:3" ht="12.75">
      <c r="A279" s="83">
        <v>580310639</v>
      </c>
      <c r="B279" s="84">
        <v>223274.19</v>
      </c>
      <c r="C279" t="str">
        <f>VLOOKUP(A279,גיליון2!$B$5:$C$1319,2,0)</f>
        <v>הפועל נועם פרדסיה</v>
      </c>
    </row>
    <row r="280" spans="1:3" ht="12.75">
      <c r="A280" s="83">
        <v>580310969</v>
      </c>
      <c r="B280" s="84">
        <v>2807.45</v>
      </c>
      <c r="C280" t="e">
        <f>VLOOKUP(A280,גיליון2!$B$5:$C$1319,2,0)</f>
        <v>#N/A</v>
      </c>
    </row>
    <row r="281" spans="1:3" ht="12.75">
      <c r="A281" s="83">
        <v>580311181</v>
      </c>
      <c r="B281" s="84">
        <v>93913.31</v>
      </c>
      <c r="C281" t="str">
        <f>VLOOKUP(A281,גיליון2!$B$5:$C$1319,2,0)</f>
        <v>שייט חיפה</v>
      </c>
    </row>
    <row r="282" spans="1:3" ht="12.75">
      <c r="A282" s="83">
        <v>580313039</v>
      </c>
      <c r="B282" s="84">
        <v>15494.73</v>
      </c>
      <c r="C282" t="e">
        <f>VLOOKUP(A282,גיליון2!$B$5:$C$1319,2,0)</f>
        <v>#N/A</v>
      </c>
    </row>
    <row r="283" spans="1:3" ht="12.75">
      <c r="A283" s="83">
        <v>580314581</v>
      </c>
      <c r="B283" s="84">
        <v>212741.53</v>
      </c>
      <c r="C283" t="str">
        <f>VLOOKUP(A283,גיליון2!$B$5:$C$1319,2,0)</f>
        <v>הפועל מופת בת ים</v>
      </c>
    </row>
    <row r="284" spans="1:3" ht="12.75">
      <c r="A284" s="83">
        <v>580314748</v>
      </c>
      <c r="B284" s="84">
        <v>264332.46</v>
      </c>
      <c r="C284" t="str">
        <f>VLOOKUP(A284,גיליון2!$B$5:$C$1319,2,0)</f>
        <v>מועדון מכבי הוד השרון כדורעף</v>
      </c>
    </row>
    <row r="285" spans="1:3" ht="12.75">
      <c r="A285" s="83">
        <v>580314912</v>
      </c>
      <c r="B285" s="84">
        <v>173161.48</v>
      </c>
      <c r="C285" t="str">
        <f>VLOOKUP(A285,גיליון2!$B$5:$C$1319,2,0)</f>
        <v>מועדון הכדורסל מכבי כלנית כרמיאל</v>
      </c>
    </row>
    <row r="286" spans="1:3" ht="12.75">
      <c r="A286" s="83">
        <v>580315141</v>
      </c>
      <c r="B286" s="84">
        <v>27457.24</v>
      </c>
      <c r="C286" t="str">
        <f>VLOOKUP(A286,גיליון2!$B$5:$C$1319,2,0)</f>
        <v>מועדון השחמ"ט  פתח תקוה</v>
      </c>
    </row>
    <row r="287" spans="1:3" ht="12.75">
      <c r="A287" s="83">
        <v>580315893</v>
      </c>
      <c r="B287" s="84">
        <v>39025.56</v>
      </c>
      <c r="C287" t="str">
        <f>VLOOKUP(A287,גיליון2!$B$5:$C$1319,2,0)</f>
        <v>מיטב אילת</v>
      </c>
    </row>
    <row r="288" spans="1:3" ht="12.75">
      <c r="A288" s="83">
        <v>580315901</v>
      </c>
      <c r="B288" s="84">
        <v>53924.02</v>
      </c>
      <c r="C288" t="str">
        <f>VLOOKUP(A288,גיליון2!$B$5:$C$1319,2,0)</f>
        <v>מיטב באר שבע</v>
      </c>
    </row>
    <row r="289" spans="1:3" ht="12.75">
      <c r="A289" s="83">
        <v>580315927</v>
      </c>
      <c r="B289" s="84">
        <v>27455.78</v>
      </c>
      <c r="C289" t="str">
        <f>VLOOKUP(A289,גיליון2!$B$5:$C$1319,2,0)</f>
        <v>מיטב קידום רחובות</v>
      </c>
    </row>
    <row r="290" spans="1:3" ht="12.75">
      <c r="A290" s="83">
        <v>580315935</v>
      </c>
      <c r="B290" s="84">
        <v>196432.56</v>
      </c>
      <c r="C290" t="str">
        <f>VLOOKUP(A290,גיליון2!$B$5:$C$1319,2,0)</f>
        <v>מיטב בת ים</v>
      </c>
    </row>
    <row r="291" spans="1:3" ht="12.75">
      <c r="A291" s="83">
        <v>580315976</v>
      </c>
      <c r="B291" s="84">
        <v>34465.76</v>
      </c>
      <c r="C291" t="str">
        <f>VLOOKUP(A291,גיליון2!$B$5:$C$1319,2,0)</f>
        <v>מיטב לקידום הספורט באור עקיבא</v>
      </c>
    </row>
    <row r="292" spans="1:3" ht="12.75">
      <c r="A292" s="83">
        <v>580315984</v>
      </c>
      <c r="B292" s="84">
        <v>678800.17</v>
      </c>
      <c r="C292" t="str">
        <f>VLOOKUP(A292,גיליון2!$B$5:$C$1319,2,0)</f>
        <v>מיטב נתניה</v>
      </c>
    </row>
    <row r="293" spans="1:3" ht="12.75">
      <c r="A293" s="83">
        <v>580315992</v>
      </c>
      <c r="B293" s="84">
        <v>77885.64</v>
      </c>
      <c r="C293" t="str">
        <f>VLOOKUP(A293,גיליון2!$B$5:$C$1319,2,0)</f>
        <v>מיטב אשדוד</v>
      </c>
    </row>
    <row r="294" spans="1:3" ht="12.75">
      <c r="A294" s="83">
        <v>580316065</v>
      </c>
      <c r="B294" s="84">
        <v>246665.4</v>
      </c>
      <c r="C294" t="str">
        <f>VLOOKUP(A294,גיליון2!$B$5:$C$1319,2,0)</f>
        <v>אליצור חשמונאים ראשון</v>
      </c>
    </row>
    <row r="295" spans="1:3" ht="12.75">
      <c r="A295" s="83">
        <v>580317584</v>
      </c>
      <c r="B295" s="84">
        <v>71956.61</v>
      </c>
      <c r="C295" t="str">
        <f>VLOOKUP(A295,גיליון2!$B$5:$C$1319,2,0)</f>
        <v>מרכז הספורט הכללי- בני עייש</v>
      </c>
    </row>
    <row r="296" spans="1:3" ht="12.75">
      <c r="A296" s="83">
        <v>580317709</v>
      </c>
      <c r="B296" s="84">
        <v>26763.62</v>
      </c>
      <c r="C296" t="str">
        <f>VLOOKUP(A296,גיליון2!$B$5:$C$1319,2,0)</f>
        <v>פליפר עמותה לשחיה</v>
      </c>
    </row>
    <row r="297" spans="1:3" ht="12.75">
      <c r="A297" s="83">
        <v>580318830</v>
      </c>
      <c r="B297" s="84">
        <v>43816.91</v>
      </c>
      <c r="C297" t="str">
        <f>VLOOKUP(A297,גיליון2!$B$5:$C$1319,2,0)</f>
        <v>הפועל אורנית</v>
      </c>
    </row>
    <row r="298" spans="1:3" ht="12.75">
      <c r="A298" s="83">
        <v>580320141</v>
      </c>
      <c r="B298" s="84">
        <v>72167.74</v>
      </c>
      <c r="C298" t="str">
        <f>VLOOKUP(A298,גיליון2!$B$5:$C$1319,2,0)</f>
        <v>ירושלים רבתי שחייה</v>
      </c>
    </row>
    <row r="299" spans="1:3" ht="12.75">
      <c r="A299" s="83">
        <v>580320232</v>
      </c>
      <c r="B299" s="84">
        <v>18628.6</v>
      </c>
      <c r="C299" t="str">
        <f>VLOOKUP(A299,גיליון2!$B$5:$C$1319,2,0)</f>
        <v>בראבו</v>
      </c>
    </row>
    <row r="300" spans="1:3" ht="12.75">
      <c r="A300" s="83">
        <v>580321347</v>
      </c>
      <c r="B300" s="84">
        <v>62694.48</v>
      </c>
      <c r="C300" t="str">
        <f>VLOOKUP(A300,גיליון2!$B$5:$C$1319,2,0)</f>
        <v>עמותת ספורט דור העתיד בכדורסל הפועל גבעתיים</v>
      </c>
    </row>
    <row r="301" spans="1:3" ht="12.75">
      <c r="A301" s="83">
        <v>580321552</v>
      </c>
      <c r="B301" s="84">
        <v>120278.28</v>
      </c>
      <c r="C301" t="str">
        <f>VLOOKUP(A301,גיליון2!$B$5:$C$1319,2,0)</f>
        <v>העמותה לקידום מועדון הכדורגל - גדנע תל אביב</v>
      </c>
    </row>
    <row r="302" spans="1:3" ht="12.75">
      <c r="A302" s="83">
        <v>580322741</v>
      </c>
      <c r="B302" s="84">
        <v>11725.04</v>
      </c>
      <c r="C302" t="e">
        <f>VLOOKUP(A302,גיליון2!$B$5:$C$1319,2,0)</f>
        <v>#N/A</v>
      </c>
    </row>
    <row r="303" spans="1:3" ht="12.75">
      <c r="A303" s="83">
        <v>580324127</v>
      </c>
      <c r="B303" s="84">
        <v>130839.13</v>
      </c>
      <c r="C303" t="str">
        <f>VLOOKUP(A303,גיליון2!$B$5:$C$1319,2,0)</f>
        <v>עוצמת יפרח</v>
      </c>
    </row>
    <row r="304" spans="1:3" ht="12.75">
      <c r="A304" s="83">
        <v>580324192</v>
      </c>
      <c r="B304" s="84">
        <v>256791.5</v>
      </c>
      <c r="C304" t="str">
        <f>VLOOKUP(A304,גיליון2!$B$5:$C$1319,2,0)</f>
        <v>התאגדות לתרבות גופנית הפועל ראשון לציון</v>
      </c>
    </row>
    <row r="305" spans="1:3" ht="12.75">
      <c r="A305" s="83">
        <v>580325439</v>
      </c>
      <c r="B305" s="84">
        <v>13206.56</v>
      </c>
      <c r="C305" t="str">
        <f>VLOOKUP(A305,גיליון2!$B$5:$C$1319,2,0)</f>
        <v>מועדון ימי שחפית זבולון- חיפה</v>
      </c>
    </row>
    <row r="306" spans="1:3" ht="12.75">
      <c r="A306" s="83">
        <v>580328599</v>
      </c>
      <c r="B306" s="84">
        <v>144097.08</v>
      </c>
      <c r="C306" t="str">
        <f>VLOOKUP(A306,גיליון2!$B$5:$C$1319,2,0)</f>
        <v>העמותה לקידום הכדורסל באבו- סנאן</v>
      </c>
    </row>
    <row r="307" spans="1:3" ht="12.75">
      <c r="A307" s="83">
        <v>580329167</v>
      </c>
      <c r="B307" s="84">
        <v>19771.18</v>
      </c>
      <c r="C307" t="str">
        <f>VLOOKUP(A307,גיליון2!$B$5:$C$1319,2,0)</f>
        <v>מכבי צעירי מטולה</v>
      </c>
    </row>
    <row r="308" spans="1:3" ht="12.75">
      <c r="A308" s="83">
        <v>580329274</v>
      </c>
      <c r="B308" s="84">
        <v>217500.95</v>
      </c>
      <c r="C308" t="str">
        <f>VLOOKUP(A308,גיליון2!$B$5:$C$1319,2,0)</f>
        <v>טייגרס סופט בול</v>
      </c>
    </row>
    <row r="309" spans="1:3" ht="12.75">
      <c r="A309" s="83">
        <v>580329290</v>
      </c>
      <c r="B309" s="84">
        <v>47882.28</v>
      </c>
      <c r="C309" t="str">
        <f>VLOOKUP(A309,גיליון2!$B$5:$C$1319,2,0)</f>
        <v>איילות רוכבי אופניים</v>
      </c>
    </row>
    <row r="310" spans="1:3" ht="12.75">
      <c r="A310" s="83">
        <v>580329316</v>
      </c>
      <c r="B310" s="84">
        <v>41793.15</v>
      </c>
      <c r="C310" t="str">
        <f>VLOOKUP(A310,גיליון2!$B$5:$C$1319,2,0)</f>
        <v>מ.ט. גבעת אלה חיפה</v>
      </c>
    </row>
    <row r="311" spans="1:3" ht="12.75">
      <c r="A311" s="83">
        <v>580329423</v>
      </c>
      <c r="B311" s="84">
        <v>37678.67</v>
      </c>
      <c r="C311" t="str">
        <f>VLOOKUP(A311,גיליון2!$B$5:$C$1319,2,0)</f>
        <v>מועדון הגו'דו מכבי הרצליה</v>
      </c>
    </row>
    <row r="312" spans="1:3" ht="12.75">
      <c r="A312" s="83">
        <v>580330165</v>
      </c>
      <c r="B312" s="84">
        <v>1114.64</v>
      </c>
      <c r="C312" t="str">
        <f>VLOOKUP(A312,גיליון2!$B$5:$C$1319,2,0)</f>
        <v>פטנק רוטשילד תל אביב</v>
      </c>
    </row>
    <row r="313" spans="1:3" ht="12.75">
      <c r="A313" s="83">
        <v>580330447</v>
      </c>
      <c r="B313" s="84">
        <v>185299.49</v>
      </c>
      <c r="C313" t="str">
        <f>VLOOKUP(A313,גיליון2!$B$5:$C$1319,2,0)</f>
        <v>מועדון הכדורסל מכבי שהם</v>
      </c>
    </row>
    <row r="314" spans="1:3" ht="12.75">
      <c r="A314" s="83">
        <v>580330603</v>
      </c>
      <c r="B314" s="84">
        <v>11207.04</v>
      </c>
      <c r="C314" t="str">
        <f>VLOOKUP(A314,גיליון2!$B$5:$C$1319,2,0)</f>
        <v>מועדון שחמ"ט אינטל</v>
      </c>
    </row>
    <row r="315" spans="1:3" ht="12.75">
      <c r="A315" s="83">
        <v>580331239</v>
      </c>
      <c r="B315" s="84">
        <v>10677.82</v>
      </c>
      <c r="C315" t="e">
        <f>VLOOKUP(A315,גיליון2!$B$5:$C$1319,2,0)</f>
        <v>#N/A</v>
      </c>
    </row>
    <row r="316" spans="1:3" ht="12.75">
      <c r="A316" s="83">
        <v>580331270</v>
      </c>
      <c r="B316" s="84">
        <v>7195.44</v>
      </c>
      <c r="C316" t="str">
        <f>VLOOKUP(A316,גיליון2!$B$5:$C$1319,2,0)</f>
        <v>מועדון סיוף הפועל חיפה</v>
      </c>
    </row>
    <row r="317" spans="1:3" ht="12.75">
      <c r="A317" s="83">
        <v>580331379</v>
      </c>
      <c r="B317" s="84">
        <v>38538.21</v>
      </c>
      <c r="C317" t="str">
        <f>VLOOKUP(A317,גיליון2!$B$5:$C$1319,2,0)</f>
        <v>מועדון האקרובטיקה וההתעמלות מכבי דן</v>
      </c>
    </row>
    <row r="318" spans="1:3" ht="12.75">
      <c r="A318" s="83">
        <v>580331510</v>
      </c>
      <c r="B318" s="84">
        <v>156408.44</v>
      </c>
      <c r="C318" t="str">
        <f>VLOOKUP(A318,גיליון2!$B$5:$C$1319,2,0)</f>
        <v>עמותת הכדורעף- אליצור אשקלון</v>
      </c>
    </row>
    <row r="319" spans="1:3" ht="12.75">
      <c r="A319" s="83">
        <v>580332153</v>
      </c>
      <c r="B319" s="84">
        <v>49228.55</v>
      </c>
      <c r="C319" t="str">
        <f>VLOOKUP(A319,גיליון2!$B$5:$C$1319,2,0)</f>
        <v>נווה דוד חולון</v>
      </c>
    </row>
    <row r="320" spans="1:3" ht="12.75">
      <c r="A320" s="83">
        <v>580332757</v>
      </c>
      <c r="B320" s="84">
        <v>5190.31</v>
      </c>
      <c r="C320" t="str">
        <f>VLOOKUP(A320,גיליון2!$B$5:$C$1319,2,0)</f>
        <v>הפועל אשדוד טניס שולחן</v>
      </c>
    </row>
    <row r="321" spans="1:3" ht="12.75">
      <c r="A321" s="83">
        <v>580332799</v>
      </c>
      <c r="B321" s="84">
        <v>18069.55</v>
      </c>
      <c r="C321" t="str">
        <f>VLOOKUP(A321,גיליון2!$B$5:$C$1319,2,0)</f>
        <v>מועדון אלון</v>
      </c>
    </row>
    <row r="322" spans="1:3" ht="12.75">
      <c r="A322" s="83">
        <v>580333045</v>
      </c>
      <c r="B322" s="84">
        <v>355252.39</v>
      </c>
      <c r="C322" t="str">
        <f>VLOOKUP(A322,גיליון2!$B$5:$C$1319,2,0)</f>
        <v>מועדון אתלטיקה קלה מכבי ראשון לציון</v>
      </c>
    </row>
    <row r="323" spans="1:3" ht="12.75">
      <c r="A323" s="83">
        <v>580333243</v>
      </c>
      <c r="B323" s="84">
        <v>18170.08</v>
      </c>
      <c r="C323" t="str">
        <f>VLOOKUP(A323,גיליון2!$B$5:$C$1319,2,0)</f>
        <v>כפפות הזהב כפר כנא</v>
      </c>
    </row>
    <row r="324" spans="1:3" ht="12.75">
      <c r="A324" s="83">
        <v>580334696</v>
      </c>
      <c r="B324" s="84">
        <v>34344.07</v>
      </c>
      <c r="C324" t="str">
        <f>VLOOKUP(A324,גיליון2!$B$5:$C$1319,2,0)</f>
        <v>ספורטילנד שהם</v>
      </c>
    </row>
    <row r="325" spans="1:3" ht="12.75">
      <c r="A325" s="83">
        <v>580334738</v>
      </c>
      <c r="B325" s="84">
        <v>1128501.78</v>
      </c>
      <c r="C325" t="str">
        <f>VLOOKUP(A325,גיליון2!$B$5:$C$1319,2,0)</f>
        <v>מועדון לענפי ספורט מכבי תל אביב</v>
      </c>
    </row>
    <row r="326" spans="1:3" ht="12.75">
      <c r="A326" s="83">
        <v>580336154</v>
      </c>
      <c r="B326" s="84">
        <v>132762.81</v>
      </c>
      <c r="C326" t="str">
        <f>VLOOKUP(A326,גיליון2!$B$5:$C$1319,2,0)</f>
        <v>מועדון כדורעף רעננה</v>
      </c>
    </row>
    <row r="327" spans="1:3" ht="12.75">
      <c r="A327" s="83">
        <v>580336303</v>
      </c>
      <c r="B327" s="84">
        <v>42473.83</v>
      </c>
      <c r="C327" t="str">
        <f>VLOOKUP(A327,גיליון2!$B$5:$C$1319,2,0)</f>
        <v>הפועל הרצליה </v>
      </c>
    </row>
    <row r="328" spans="1:3" ht="12.75">
      <c r="A328" s="83">
        <v>580337343</v>
      </c>
      <c r="B328" s="84">
        <v>12401.06</v>
      </c>
      <c r="C328" t="str">
        <f>VLOOKUP(A328,גיליון2!$B$5:$C$1319,2,0)</f>
        <v>סיכוי לצעירים חיפה</v>
      </c>
    </row>
    <row r="329" spans="1:3" ht="12.75">
      <c r="A329" s="83">
        <v>580342822</v>
      </c>
      <c r="B329" s="84">
        <v>214029.81</v>
      </c>
      <c r="C329" t="str">
        <f>VLOOKUP(A329,גיליון2!$B$5:$C$1319,2,0)</f>
        <v>מועדון כדורסל בנות אשדוד</v>
      </c>
    </row>
    <row r="330" spans="1:3" ht="12.75">
      <c r="A330" s="83">
        <v>580343614</v>
      </c>
      <c r="B330" s="84">
        <v>54231.55</v>
      </c>
      <c r="C330" t="str">
        <f>VLOOKUP(A330,גיליון2!$B$5:$C$1319,2,0)</f>
        <v>העמותה לקידום השחיה בקרית אונו</v>
      </c>
    </row>
    <row r="331" spans="1:3" ht="12.75">
      <c r="A331" s="83">
        <v>580343697</v>
      </c>
      <c r="B331" s="84">
        <v>37706.97</v>
      </c>
      <c r="C331" t="e">
        <f>VLOOKUP(A331,גיליון2!$B$5:$C$1319,2,0)</f>
        <v>#N/A</v>
      </c>
    </row>
    <row r="332" spans="1:3" ht="12.75">
      <c r="A332" s="83">
        <v>580344646</v>
      </c>
      <c r="B332" s="84">
        <v>30858.68</v>
      </c>
      <c r="C332" t="e">
        <f>VLOOKUP(A332,גיליון2!$B$5:$C$1319,2,0)</f>
        <v>#N/A</v>
      </c>
    </row>
    <row r="333" spans="1:3" ht="12.75">
      <c r="A333" s="83">
        <v>580344802</v>
      </c>
      <c r="B333" s="84">
        <v>277041.53</v>
      </c>
      <c r="C333" t="str">
        <f>VLOOKUP(A333,גיליון2!$B$5:$C$1319,2,0)</f>
        <v>הפועל עכו</v>
      </c>
    </row>
    <row r="334" spans="1:3" ht="12.75">
      <c r="A334" s="83">
        <v>580345940</v>
      </c>
      <c r="B334" s="84">
        <v>327666.64</v>
      </c>
      <c r="C334" t="str">
        <f>VLOOKUP(A334,גיליון2!$B$5:$C$1319,2,0)</f>
        <v>הפועל רעננה</v>
      </c>
    </row>
    <row r="335" spans="1:3" ht="12.75">
      <c r="A335" s="83">
        <v>580345973</v>
      </c>
      <c r="B335" s="84">
        <v>198294</v>
      </c>
      <c r="C335" t="str">
        <f>VLOOKUP(A335,גיליון2!$B$5:$C$1319,2,0)</f>
        <v>עמותה לקידום הספורט ההישגי במעלות תרשיחא</v>
      </c>
    </row>
    <row r="336" spans="1:3" ht="12.75">
      <c r="A336" s="83">
        <v>580346476</v>
      </c>
      <c r="B336" s="84">
        <v>417904.37</v>
      </c>
      <c r="C336" t="str">
        <f>VLOOKUP(A336,גיליון2!$B$5:$C$1319,2,0)</f>
        <v>אונו כדוריד- ספורט</v>
      </c>
    </row>
    <row r="337" spans="1:3" ht="12.75">
      <c r="A337" s="83">
        <v>580346542</v>
      </c>
      <c r="B337" s="83">
        <v>660.12</v>
      </c>
      <c r="C337" t="str">
        <f>VLOOKUP(A337,גיליון2!$B$5:$C$1319,2,0)</f>
        <v>מועדון פטנק ראשון לציון</v>
      </c>
    </row>
    <row r="338" spans="1:3" ht="12.75">
      <c r="A338" s="83">
        <v>580346716</v>
      </c>
      <c r="B338" s="84">
        <v>11425.8</v>
      </c>
      <c r="C338" t="str">
        <f>VLOOKUP(A338,גיליון2!$B$5:$C$1319,2,0)</f>
        <v>עמותת  מועדון ניווט עמק יזרעאל</v>
      </c>
    </row>
    <row r="339" spans="1:3" ht="12.75">
      <c r="A339" s="83">
        <v>580347425</v>
      </c>
      <c r="B339" s="84">
        <v>25137.98</v>
      </c>
      <c r="C339" t="str">
        <f>VLOOKUP(A339,גיליון2!$B$5:$C$1319,2,0)</f>
        <v>העמותה לקשרי ספורט וחברה</v>
      </c>
    </row>
    <row r="340" spans="1:3" ht="12.75">
      <c r="A340" s="83">
        <v>580347532</v>
      </c>
      <c r="B340" s="84">
        <v>281056.62</v>
      </c>
      <c r="C340" t="str">
        <f>VLOOKUP(A340,גיליון2!$B$5:$C$1319,2,0)</f>
        <v>הפועל נצרת עלית</v>
      </c>
    </row>
    <row r="341" spans="1:3" ht="12.75">
      <c r="A341" s="83">
        <v>580348480</v>
      </c>
      <c r="B341" s="84">
        <v>87284.66</v>
      </c>
      <c r="C341" t="str">
        <f>VLOOKUP(A341,גיליון2!$B$5:$C$1319,2,0)</f>
        <v>עירוני ניר רמת השרון</v>
      </c>
    </row>
    <row r="342" spans="1:3" ht="12.75">
      <c r="A342" s="83">
        <v>580348589</v>
      </c>
      <c r="B342" s="84">
        <v>14136.43</v>
      </c>
      <c r="C342" t="str">
        <f>VLOOKUP(A342,גיליון2!$B$5:$C$1319,2,0)</f>
        <v>סקציית שחייה באר שבע</v>
      </c>
    </row>
    <row r="343" spans="1:3" ht="12.75">
      <c r="A343" s="83">
        <v>580348886</v>
      </c>
      <c r="B343" s="84">
        <v>3437.54</v>
      </c>
      <c r="C343" t="str">
        <f>VLOOKUP(A343,גיליון2!$B$5:$C$1319,2,0)</f>
        <v>מועדון באולינג חוצות 2000</v>
      </c>
    </row>
    <row r="344" spans="1:3" ht="12.75">
      <c r="A344" s="83">
        <v>580348944</v>
      </c>
      <c r="B344" s="84">
        <v>35612.14</v>
      </c>
      <c r="C344" t="str">
        <f>VLOOKUP(A344,גיליון2!$B$5:$C$1319,2,0)</f>
        <v>הפועל נהריה</v>
      </c>
    </row>
    <row r="345" spans="1:3" ht="12.75">
      <c r="A345" s="83">
        <v>580349355</v>
      </c>
      <c r="B345" s="84">
        <v>405082.44</v>
      </c>
      <c r="C345" t="str">
        <f>VLOOKUP(A345,גיליון2!$B$5:$C$1319,2,0)</f>
        <v>מועדון כדוריד מכבי ראשון</v>
      </c>
    </row>
    <row r="346" spans="1:3" ht="12.75">
      <c r="A346" s="83">
        <v>580350080</v>
      </c>
      <c r="B346" s="84">
        <v>65638.08</v>
      </c>
      <c r="C346" t="str">
        <f>VLOOKUP(A346,גיליון2!$B$5:$C$1319,2,0)</f>
        <v>העמותה לקידום הספורט החינוך והחברה בקדימה צורן</v>
      </c>
    </row>
    <row r="347" spans="1:3" ht="12.75">
      <c r="A347" s="83">
        <v>580350759</v>
      </c>
      <c r="B347" s="84">
        <v>290755.4</v>
      </c>
      <c r="C347" t="str">
        <f>VLOOKUP(A347,גיליון2!$B$5:$C$1319,2,0)</f>
        <v>הפועל יפיע</v>
      </c>
    </row>
    <row r="348" spans="1:3" ht="12.75">
      <c r="A348" s="83">
        <v>580351021</v>
      </c>
      <c r="B348" s="84">
        <v>336631.51</v>
      </c>
      <c r="C348" t="str">
        <f>VLOOKUP(A348,גיליון2!$B$5:$C$1319,2,0)</f>
        <v>ק.ק תל אביב</v>
      </c>
    </row>
    <row r="349" spans="1:3" ht="12.75">
      <c r="A349" s="83">
        <v>580351716</v>
      </c>
      <c r="B349" s="84">
        <v>38230.68</v>
      </c>
      <c r="C349" t="str">
        <f>VLOOKUP(A349,גיליון2!$B$5:$C$1319,2,0)</f>
        <v>מועדון ספורט בית דגן</v>
      </c>
    </row>
    <row r="350" spans="1:3" ht="12.75">
      <c r="A350" s="83">
        <v>580352441</v>
      </c>
      <c r="B350" s="84">
        <v>54640.2</v>
      </c>
      <c r="C350" t="str">
        <f>VLOOKUP(A350,גיליון2!$B$5:$C$1319,2,0)</f>
        <v>ביתר גבעת זאב</v>
      </c>
    </row>
    <row r="351" spans="1:3" ht="12.75">
      <c r="A351" s="83">
        <v>580352540</v>
      </c>
      <c r="B351" s="84">
        <v>501106.74</v>
      </c>
      <c r="C351" t="str">
        <f>VLOOKUP(A351,גיליון2!$B$5:$C$1319,2,0)</f>
        <v>הפועל עראבה</v>
      </c>
    </row>
    <row r="352" spans="1:3" ht="12.75">
      <c r="A352" s="83">
        <v>580352771</v>
      </c>
      <c r="B352" s="84">
        <v>171665.6</v>
      </c>
      <c r="C352" t="str">
        <f>VLOOKUP(A352,גיליון2!$B$5:$C$1319,2,0)</f>
        <v>מכבי הלוחם הצעיר</v>
      </c>
    </row>
    <row r="353" spans="1:3" ht="12.75">
      <c r="A353" s="83">
        <v>580352797</v>
      </c>
      <c r="B353" s="84">
        <v>59337.4</v>
      </c>
      <c r="C353" t="str">
        <f>VLOOKUP(A353,גיליון2!$B$5:$C$1319,2,0)</f>
        <v>איגוד רוכבי האופניים בתל אביב</v>
      </c>
    </row>
    <row r="354" spans="1:3" ht="12.75">
      <c r="A354" s="83">
        <v>580353076</v>
      </c>
      <c r="B354" s="84">
        <v>189479.49</v>
      </c>
      <c r="C354" t="str">
        <f>VLOOKUP(A354,גיליון2!$B$5:$C$1319,2,0)</f>
        <v>עמותה לקידום הספורט בערד</v>
      </c>
    </row>
    <row r="355" spans="1:3" ht="12.75">
      <c r="A355" s="83">
        <v>580353233</v>
      </c>
      <c r="B355" s="84">
        <v>145878.81</v>
      </c>
      <c r="C355" t="str">
        <f>VLOOKUP(A355,גיליון2!$B$5:$C$1319,2,0)</f>
        <v>אגוד ספורטיבי דתי אליצור גבעת שמואל</v>
      </c>
    </row>
    <row r="356" spans="1:3" ht="12.75">
      <c r="A356" s="83">
        <v>580353357</v>
      </c>
      <c r="B356" s="84">
        <v>73038.23</v>
      </c>
      <c r="C356" t="str">
        <f>VLOOKUP(A356,גיליון2!$B$5:$C$1319,2,0)</f>
        <v>רעננה סופטבול קבוצת סופטבול</v>
      </c>
    </row>
    <row r="357" spans="1:3" ht="12.75">
      <c r="A357" s="83">
        <v>580353373</v>
      </c>
      <c r="B357" s="84">
        <v>201669.18</v>
      </c>
      <c r="C357" t="str">
        <f>VLOOKUP(A357,גיליון2!$B$5:$C$1319,2,0)</f>
        <v>מועדון סופטבול הקליע - בית שמש</v>
      </c>
    </row>
    <row r="358" spans="1:3" ht="12.75">
      <c r="A358" s="83">
        <v>580353381</v>
      </c>
      <c r="B358" s="84">
        <v>430483.18</v>
      </c>
      <c r="C358" t="str">
        <f>VLOOKUP(A358,גיליון2!$B$5:$C$1319,2,0)</f>
        <v>ותיקי ירושלים - קבוצת סופטבול</v>
      </c>
    </row>
    <row r="359" spans="1:3" ht="12.75">
      <c r="A359" s="83">
        <v>580353431</v>
      </c>
      <c r="B359" s="84">
        <v>34520.94</v>
      </c>
      <c r="C359" t="e">
        <f>VLOOKUP(A359,גיליון2!$B$5:$C$1319,2,0)</f>
        <v>#N/A</v>
      </c>
    </row>
    <row r="360" spans="1:3" ht="12.75">
      <c r="A360" s="83">
        <v>580353670</v>
      </c>
      <c r="B360" s="84">
        <v>70823.6</v>
      </c>
      <c r="C360" t="str">
        <f>VLOOKUP(A360,גיליון2!$B$5:$C$1319,2,0)</f>
        <v>מועדון כדורסל הפועל טבריה</v>
      </c>
    </row>
    <row r="361" spans="1:3" ht="12.75">
      <c r="A361" s="83">
        <v>580354546</v>
      </c>
      <c r="B361" s="84">
        <v>113585.02</v>
      </c>
      <c r="C361" t="str">
        <f>VLOOKUP(A361,גיליון2!$B$5:$C$1319,2,0)</f>
        <v>העמותה לקידום הספורט בנצר סירני</v>
      </c>
    </row>
    <row r="362" spans="1:3" ht="12.75">
      <c r="A362" s="83">
        <v>580354991</v>
      </c>
      <c r="B362" s="84">
        <v>640819.59</v>
      </c>
      <c r="C362" t="str">
        <f>VLOOKUP(A362,גיליון2!$B$5:$C$1319,2,0)</f>
        <v>הפועל כאוכב</v>
      </c>
    </row>
    <row r="363" spans="1:3" ht="12.75">
      <c r="A363" s="83">
        <v>580355014</v>
      </c>
      <c r="B363" s="84">
        <v>92347.18</v>
      </c>
      <c r="C363" t="str">
        <f>VLOOKUP(A363,גיליון2!$B$5:$C$1319,2,0)</f>
        <v>עמותת הפועל רמות מנשה מגידו</v>
      </c>
    </row>
    <row r="364" spans="1:3" ht="12.75">
      <c r="A364" s="83">
        <v>580355030</v>
      </c>
      <c r="B364" s="84">
        <v>125689.92</v>
      </c>
      <c r="C364" t="str">
        <f>VLOOKUP(A364,גיליון2!$B$5:$C$1319,2,0)</f>
        <v>מועדון ספורט אורתודוכסים יפו</v>
      </c>
    </row>
    <row r="365" spans="1:3" ht="12.75">
      <c r="A365" s="83">
        <v>580355048</v>
      </c>
      <c r="B365" s="84">
        <v>60051.85</v>
      </c>
      <c r="C365" t="str">
        <f>VLOOKUP(A365,גיליון2!$B$5:$C$1319,2,0)</f>
        <v>הפועל בקעת הירדן</v>
      </c>
    </row>
    <row r="366" spans="1:3" ht="12.75">
      <c r="A366" s="83">
        <v>580355055</v>
      </c>
      <c r="B366" s="84">
        <v>20935.28</v>
      </c>
      <c r="C366" t="str">
        <f>VLOOKUP(A366,גיליון2!$B$5:$C$1319,2,0)</f>
        <v>הפעול בית יצחק שער חפר</v>
      </c>
    </row>
    <row r="367" spans="1:3" ht="12.75">
      <c r="A367" s="83">
        <v>580355782</v>
      </c>
      <c r="B367" s="84">
        <v>65638.08</v>
      </c>
      <c r="C367" t="str">
        <f>VLOOKUP(A367,גיליון2!$B$5:$C$1319,2,0)</f>
        <v>מכבי רחובות</v>
      </c>
    </row>
    <row r="368" spans="1:3" ht="12.75">
      <c r="A368" s="83">
        <v>580356178</v>
      </c>
      <c r="B368" s="84">
        <v>85264.57</v>
      </c>
      <c r="C368" t="str">
        <f>VLOOKUP(A368,גיליון2!$B$5:$C$1319,2,0)</f>
        <v>קידום הספורט אשקלון</v>
      </c>
    </row>
    <row r="369" spans="1:3" ht="12.75">
      <c r="A369" s="83">
        <v>580356988</v>
      </c>
      <c r="B369" s="84">
        <v>162524.39</v>
      </c>
      <c r="C369" t="str">
        <f>VLOOKUP(A369,גיליון2!$B$5:$C$1319,2,0)</f>
        <v>עמותת הספורט במטה יהודה</v>
      </c>
    </row>
    <row r="370" spans="1:3" ht="12.75">
      <c r="A370" s="83">
        <v>580357119</v>
      </c>
      <c r="B370" s="84">
        <v>243017.16</v>
      </c>
      <c r="C370" t="str">
        <f>VLOOKUP(A370,גיליון2!$B$5:$C$1319,2,0)</f>
        <v>כדורגל בועיינה נוג'ידאת</v>
      </c>
    </row>
    <row r="371" spans="1:3" ht="12.75">
      <c r="A371" s="83">
        <v>580357358</v>
      </c>
      <c r="B371" s="84">
        <v>567585.39</v>
      </c>
      <c r="C371" t="str">
        <f>VLOOKUP(A371,גיליון2!$B$5:$C$1319,2,0)</f>
        <v>הפועל המעפיל</v>
      </c>
    </row>
    <row r="372" spans="1:3" ht="12.75">
      <c r="A372" s="83">
        <v>580358588</v>
      </c>
      <c r="B372" s="84">
        <v>23042.2</v>
      </c>
      <c r="C372" t="str">
        <f>VLOOKUP(A372,גיליון2!$B$5:$C$1319,2,0)</f>
        <v>עמותה לקידום הטניס ברמלה</v>
      </c>
    </row>
    <row r="373" spans="1:3" ht="12.75">
      <c r="A373" s="83">
        <v>580359826</v>
      </c>
      <c r="B373" s="84">
        <v>73171.47</v>
      </c>
      <c r="C373" t="str">
        <f>VLOOKUP(A373,גיליון2!$B$5:$C$1319,2,0)</f>
        <v>מועדון השגי מכבי בני הנגב באר שבע</v>
      </c>
    </row>
    <row r="374" spans="1:3" ht="12.75">
      <c r="A374" s="83">
        <v>580360360</v>
      </c>
      <c r="B374" s="84">
        <v>6416.16</v>
      </c>
      <c r="C374" t="str">
        <f>VLOOKUP(A374,גיליון2!$B$5:$C$1319,2,0)</f>
        <v>מועדון טניס עפלה</v>
      </c>
    </row>
    <row r="375" spans="1:3" ht="12.75">
      <c r="A375" s="83">
        <v>580360568</v>
      </c>
      <c r="B375" s="84">
        <v>139399.3</v>
      </c>
      <c r="C375" t="str">
        <f>VLOOKUP(A375,גיליון2!$B$5:$C$1319,2,0)</f>
        <v>הפועל אשכול</v>
      </c>
    </row>
    <row r="376" spans="1:3" ht="12.75">
      <c r="A376" s="83">
        <v>580360584</v>
      </c>
      <c r="B376" s="84">
        <v>161736.95</v>
      </c>
      <c r="C376" t="str">
        <f>VLOOKUP(A376,גיליון2!$B$5:$C$1319,2,0)</f>
        <v>העמותה לקידום הספורט רמת נגב</v>
      </c>
    </row>
    <row r="377" spans="1:3" ht="12.75">
      <c r="A377" s="83">
        <v>580361178</v>
      </c>
      <c r="B377" s="84">
        <v>4097.71</v>
      </c>
      <c r="C377" t="str">
        <f>VLOOKUP(A377,גיליון2!$B$5:$C$1319,2,0)</f>
        <v>מועדון הבדמינטון מכבי לוד</v>
      </c>
    </row>
    <row r="378" spans="1:3" ht="12.75">
      <c r="A378" s="83">
        <v>580361350</v>
      </c>
      <c r="B378" s="84">
        <v>131625.29</v>
      </c>
      <c r="C378" t="str">
        <f>VLOOKUP(A378,גיליון2!$B$5:$C$1319,2,0)</f>
        <v>בית"ר נילי חיפה 2000</v>
      </c>
    </row>
    <row r="379" spans="1:3" ht="12.75">
      <c r="A379" s="83">
        <v>580361897</v>
      </c>
      <c r="B379" s="84">
        <v>28926.6</v>
      </c>
      <c r="C379" t="str">
        <f>VLOOKUP(A379,גיליון2!$B$5:$C$1319,2,0)</f>
        <v>הפועל ניקה באר שבע</v>
      </c>
    </row>
    <row r="380" spans="1:3" ht="12.75">
      <c r="A380" s="83">
        <v>580364156</v>
      </c>
      <c r="B380" s="84">
        <v>6499.6</v>
      </c>
      <c r="C380" t="str">
        <f>VLOOKUP(A380,גיליון2!$B$5:$C$1319,2,0)</f>
        <v>מועדון סקי מים בכבלים תל אביב</v>
      </c>
    </row>
    <row r="381" spans="1:3" ht="12.75">
      <c r="A381" s="83">
        <v>580364297</v>
      </c>
      <c r="B381" s="84">
        <v>13207.08</v>
      </c>
      <c r="C381" t="str">
        <f>VLOOKUP(A381,גיליון2!$B$5:$C$1319,2,0)</f>
        <v>ביתר באר שבע טניס שולחן 2000</v>
      </c>
    </row>
    <row r="382" spans="1:3" ht="12.75">
      <c r="A382" s="83">
        <v>580364727</v>
      </c>
      <c r="B382" s="84">
        <v>411917.8</v>
      </c>
      <c r="C382" t="str">
        <f>VLOOKUP(A382,גיליון2!$B$5:$C$1319,2,0)</f>
        <v>עמותת חולון 2000 לספורט עממי</v>
      </c>
    </row>
    <row r="383" spans="1:3" ht="12.75">
      <c r="A383" s="83">
        <v>580364875</v>
      </c>
      <c r="B383" s="84">
        <v>134602.86</v>
      </c>
      <c r="C383" t="str">
        <f>VLOOKUP(A383,גיליון2!$B$5:$C$1319,2,0)</f>
        <v>עמותה עירונית לקידום הספורט באיזור מגידו</v>
      </c>
    </row>
    <row r="384" spans="1:3" ht="12.75">
      <c r="A384" s="83">
        <v>580364958</v>
      </c>
      <c r="B384" s="84">
        <v>108462.56</v>
      </c>
      <c r="C384" t="str">
        <f>VLOOKUP(A384,גיליון2!$B$5:$C$1319,2,0)</f>
        <v>הפועל לכיש</v>
      </c>
    </row>
    <row r="385" spans="1:3" ht="12.75">
      <c r="A385" s="83">
        <v>580364966</v>
      </c>
      <c r="B385" s="84">
        <v>12226.04</v>
      </c>
      <c r="C385" t="str">
        <f>VLOOKUP(A385,גיליון2!$B$5:$C$1319,2,0)</f>
        <v>קידום הסיוף בבאר שבע</v>
      </c>
    </row>
    <row r="386" spans="1:3" ht="12.75">
      <c r="A386" s="83">
        <v>580364982</v>
      </c>
      <c r="B386" s="84">
        <v>17483.19</v>
      </c>
      <c r="C386" t="str">
        <f>VLOOKUP(A386,גיליון2!$B$5:$C$1319,2,0)</f>
        <v>ביתר נווה אליעזר</v>
      </c>
    </row>
    <row r="387" spans="1:3" ht="12.75">
      <c r="A387" s="83">
        <v>580366946</v>
      </c>
      <c r="B387" s="84">
        <v>74665.03</v>
      </c>
      <c r="C387" t="str">
        <f>VLOOKUP(A387,גיליון2!$B$5:$C$1319,2,0)</f>
        <v>העמותה לקידום הספורט בחבל בני שמעון</v>
      </c>
    </row>
    <row r="388" spans="1:3" ht="12.75">
      <c r="A388" s="83">
        <v>580367142</v>
      </c>
      <c r="B388" s="84">
        <v>17424.17</v>
      </c>
      <c r="C388" t="str">
        <f>VLOOKUP(A388,גיליון2!$B$5:$C$1319,2,0)</f>
        <v>דור העתיד לטניס רמת השרון</v>
      </c>
    </row>
    <row r="389" spans="1:3" ht="12.75">
      <c r="A389" s="83">
        <v>580367167</v>
      </c>
      <c r="B389" s="84">
        <v>58081.91</v>
      </c>
      <c r="C389" t="e">
        <f>VLOOKUP(A389,גיליון2!$B$5:$C$1319,2,0)</f>
        <v>#N/A</v>
      </c>
    </row>
    <row r="390" spans="1:3" ht="12.75">
      <c r="A390" s="83">
        <v>580368009</v>
      </c>
      <c r="B390" s="84">
        <v>5534.61</v>
      </c>
      <c r="C390" t="str">
        <f>VLOOKUP(A390,גיליון2!$B$5:$C$1319,2,0)</f>
        <v>מועדון ניווט גליל</v>
      </c>
    </row>
    <row r="391" spans="1:3" ht="12.75">
      <c r="A391" s="83">
        <v>580368504</v>
      </c>
      <c r="B391" s="84">
        <v>4775.44</v>
      </c>
      <c r="C391" t="str">
        <f>VLOOKUP(A391,גיליון2!$B$5:$C$1319,2,0)</f>
        <v>הפועל גמביט קרית ביאליק</v>
      </c>
    </row>
    <row r="392" spans="1:3" ht="12.75">
      <c r="A392" s="83">
        <v>580368546</v>
      </c>
      <c r="B392" s="84">
        <v>258477.05</v>
      </c>
      <c r="C392" t="str">
        <f>VLOOKUP(A392,גיליון2!$B$5:$C$1319,2,0)</f>
        <v>העמותה לקידום הספורט בגליל התחתון</v>
      </c>
    </row>
    <row r="393" spans="1:3" ht="12.75">
      <c r="A393" s="83">
        <v>580369015</v>
      </c>
      <c r="B393" s="84">
        <v>17579.66</v>
      </c>
      <c r="C393" t="str">
        <f>VLOOKUP(A393,גיליון2!$B$5:$C$1319,2,0)</f>
        <v>מכבי מועדון טניס לצעירי הרצליה</v>
      </c>
    </row>
    <row r="394" spans="1:3" ht="12.75">
      <c r="A394" s="83">
        <v>580370203</v>
      </c>
      <c r="B394" s="84">
        <v>199219.22</v>
      </c>
      <c r="C394" t="str">
        <f>VLOOKUP(A394,גיליון2!$B$5:$C$1319,2,0)</f>
        <v>העמותה להפועל ברנר</v>
      </c>
    </row>
    <row r="395" spans="1:3" ht="12.75">
      <c r="A395" s="83">
        <v>580370930</v>
      </c>
      <c r="B395" s="84">
        <v>163920.61</v>
      </c>
      <c r="C395" t="str">
        <f>VLOOKUP(A395,גיליון2!$B$5:$C$1319,2,0)</f>
        <v>מכבי קרית אתא</v>
      </c>
    </row>
    <row r="396" spans="1:3" ht="12.75">
      <c r="A396" s="83">
        <v>580371037</v>
      </c>
      <c r="B396" s="84">
        <v>18189.07</v>
      </c>
      <c r="C396" t="e">
        <f>VLOOKUP(A396,גיליון2!$B$5:$C$1319,2,0)</f>
        <v>#N/A</v>
      </c>
    </row>
    <row r="397" spans="1:3" ht="12.75">
      <c r="A397" s="83">
        <v>580371250</v>
      </c>
      <c r="B397" s="84">
        <v>120103.7</v>
      </c>
      <c r="C397" t="str">
        <f>VLOOKUP(A397,גיליון2!$B$5:$C$1319,2,0)</f>
        <v>עמותת צעירי הנגב - רהט</v>
      </c>
    </row>
    <row r="398" spans="1:3" ht="12.75">
      <c r="A398" s="83">
        <v>580372035</v>
      </c>
      <c r="B398" s="84">
        <v>2705.97</v>
      </c>
      <c r="C398" t="str">
        <f>VLOOKUP(A398,גיליון2!$B$5:$C$1319,2,0)</f>
        <v>מועדעון ניווט חוף חפר</v>
      </c>
    </row>
    <row r="399" spans="1:3" ht="12.75">
      <c r="A399" s="83">
        <v>580373215</v>
      </c>
      <c r="B399" s="84">
        <v>56660.34</v>
      </c>
      <c r="C399" t="str">
        <f>VLOOKUP(A399,גיליון2!$B$5:$C$1319,2,0)</f>
        <v>המרכז להתעמלות אומנותית בת ים</v>
      </c>
    </row>
    <row r="400" spans="1:3" ht="12.75">
      <c r="A400" s="83">
        <v>580373744</v>
      </c>
      <c r="B400" s="84">
        <v>73162.12</v>
      </c>
      <c r="C400" t="str">
        <f>VLOOKUP(A400,גיליון2!$B$5:$C$1319,2,0)</f>
        <v>קידום הספורט תרשיחא</v>
      </c>
    </row>
    <row r="401" spans="1:3" ht="12.75">
      <c r="A401" s="83">
        <v>580374445</v>
      </c>
      <c r="B401" s="84">
        <v>144222.7</v>
      </c>
      <c r="C401" t="str">
        <f>VLOOKUP(A401,גיליון2!$B$5:$C$1319,2,0)</f>
        <v>עמותת שחייני אשדוד</v>
      </c>
    </row>
    <row r="402" spans="1:3" ht="12.75">
      <c r="A402" s="83">
        <v>580374452</v>
      </c>
      <c r="B402" s="84">
        <v>4081.26</v>
      </c>
      <c r="C402" t="str">
        <f>VLOOKUP(A402,גיליון2!$B$5:$C$1319,2,0)</f>
        <v>עומתת בית"ר רמלה טניס שולחן</v>
      </c>
    </row>
    <row r="403" spans="1:3" ht="12.75">
      <c r="A403" s="83">
        <v>580375103</v>
      </c>
      <c r="B403" s="84">
        <v>14438.9</v>
      </c>
      <c r="C403" t="str">
        <f>VLOOKUP(A403,גיליון2!$B$5:$C$1319,2,0)</f>
        <v>מועדון מכבי ראשון לציון לבדמינטון</v>
      </c>
    </row>
    <row r="404" spans="1:3" ht="12.75">
      <c r="A404" s="83">
        <v>580375111</v>
      </c>
      <c r="B404" s="84">
        <v>16592.64</v>
      </c>
      <c r="C404" t="str">
        <f>VLOOKUP(A404,גיליון2!$B$5:$C$1319,2,0)</f>
        <v>עמותת השחמט אשקלון</v>
      </c>
    </row>
    <row r="405" spans="1:3" ht="12.75">
      <c r="A405" s="83">
        <v>580375681</v>
      </c>
      <c r="B405" s="84">
        <v>305860.44</v>
      </c>
      <c r="C405" t="str">
        <f>VLOOKUP(A405,גיליון2!$B$5:$C$1319,2,0)</f>
        <v>עמותת שוחרי ספורט כפר יונה</v>
      </c>
    </row>
    <row r="406" spans="1:3" ht="12.75">
      <c r="A406" s="83">
        <v>580376283</v>
      </c>
      <c r="B406" s="84">
        <v>34878.77</v>
      </c>
      <c r="C406" t="str">
        <f>VLOOKUP(A406,גיליון2!$B$5:$C$1319,2,0)</f>
        <v>הפועל אפרא מעברות קליעה</v>
      </c>
    </row>
    <row r="407" spans="1:3" ht="12.75">
      <c r="A407" s="83">
        <v>580376911</v>
      </c>
      <c r="B407" s="84">
        <v>58041.72</v>
      </c>
      <c r="C407" t="str">
        <f>VLOOKUP(A407,גיליון2!$B$5:$C$1319,2,0)</f>
        <v>עמותת הוקי רולר ראשון לציון</v>
      </c>
    </row>
    <row r="408" spans="1:3" ht="12.75">
      <c r="A408" s="83">
        <v>580377059</v>
      </c>
      <c r="B408" s="84">
        <v>417034.48</v>
      </c>
      <c r="C408" t="str">
        <f>VLOOKUP(A408,גיליון2!$B$5:$C$1319,2,0)</f>
        <v>אגודת כדוריד ראשון לציון</v>
      </c>
    </row>
    <row r="409" spans="1:3" ht="12.75">
      <c r="A409" s="83">
        <v>580377794</v>
      </c>
      <c r="B409" s="84">
        <v>213695.74</v>
      </c>
      <c r="C409" t="str">
        <f>VLOOKUP(A409,גיליון2!$B$5:$C$1319,2,0)</f>
        <v>ביתר אשדוד כדורסל</v>
      </c>
    </row>
    <row r="410" spans="1:3" ht="12.75">
      <c r="A410" s="83">
        <v>580377968</v>
      </c>
      <c r="B410" s="84">
        <v>4428.63</v>
      </c>
      <c r="C410" t="e">
        <f>VLOOKUP(A410,גיליון2!$B$5:$C$1319,2,0)</f>
        <v>#N/A</v>
      </c>
    </row>
    <row r="411" spans="1:3" ht="12.75">
      <c r="A411" s="83">
        <v>580378024</v>
      </c>
      <c r="B411" s="84">
        <v>17587.56</v>
      </c>
      <c r="C411" t="str">
        <f>VLOOKUP(A411,גיליון2!$B$5:$C$1319,2,0)</f>
        <v>כפפות הזהב כפר יסיף</v>
      </c>
    </row>
    <row r="412" spans="1:3" ht="12.75">
      <c r="A412" s="83">
        <v>580378610</v>
      </c>
      <c r="B412" s="84">
        <v>100444.8</v>
      </c>
      <c r="C412" t="str">
        <f>VLOOKUP(A412,גיליון2!$B$5:$C$1319,2,0)</f>
        <v>חבל יבנה</v>
      </c>
    </row>
    <row r="413" spans="1:3" ht="12.75">
      <c r="A413" s="83">
        <v>580379261</v>
      </c>
      <c r="B413" s="84">
        <v>15526.55</v>
      </c>
      <c r="C413" t="str">
        <f>VLOOKUP(A413,גיליון2!$B$5:$C$1319,2,0)</f>
        <v>מכבי בני הרצליה</v>
      </c>
    </row>
    <row r="414" spans="1:3" ht="12.75">
      <c r="A414" s="83">
        <v>580379352</v>
      </c>
      <c r="B414" s="84">
        <v>4347.4</v>
      </c>
      <c r="C414" t="str">
        <f>VLOOKUP(A414,גיליון2!$B$5:$C$1319,2,0)</f>
        <v>פטנק קריית ביאליק</v>
      </c>
    </row>
    <row r="415" spans="1:3" ht="12.75">
      <c r="A415" s="83">
        <v>580379485</v>
      </c>
      <c r="B415" s="84">
        <v>18232.36</v>
      </c>
      <c r="C415" t="str">
        <f>VLOOKUP(A415,גיליון2!$B$5:$C$1319,2,0)</f>
        <v>אלפר דנס</v>
      </c>
    </row>
    <row r="416" spans="1:3" ht="12.75">
      <c r="A416" s="83">
        <v>580380038</v>
      </c>
      <c r="B416" s="84">
        <v>10742.07</v>
      </c>
      <c r="C416" t="e">
        <f>VLOOKUP(A416,גיליון2!$B$5:$C$1319,2,0)</f>
        <v>#N/A</v>
      </c>
    </row>
    <row r="417" spans="1:3" ht="12.75">
      <c r="A417" s="83">
        <v>580380244</v>
      </c>
      <c r="B417" s="84">
        <v>109928.91</v>
      </c>
      <c r="C417" t="str">
        <f>VLOOKUP(A417,גיליון2!$B$5:$C$1319,2,0)</f>
        <v>מסטרס חיפה מועדון אופניים</v>
      </c>
    </row>
    <row r="418" spans="1:3" ht="12.75">
      <c r="A418" s="83">
        <v>580380780</v>
      </c>
      <c r="B418" s="84">
        <v>33089.83</v>
      </c>
      <c r="C418" t="str">
        <f>VLOOKUP(A418,גיליון2!$B$5:$C$1319,2,0)</f>
        <v>קידום האבקות ברחובות</v>
      </c>
    </row>
    <row r="419" spans="1:3" ht="12.75">
      <c r="A419" s="83">
        <v>580380855</v>
      </c>
      <c r="B419" s="84">
        <v>79254.48</v>
      </c>
      <c r="C419" t="e">
        <f>VLOOKUP(A419,גיליון2!$B$5:$C$1319,2,0)</f>
        <v>#N/A</v>
      </c>
    </row>
    <row r="420" spans="1:3" ht="12.75">
      <c r="A420" s="83">
        <v>580381440</v>
      </c>
      <c r="B420" s="84">
        <v>11585.94</v>
      </c>
      <c r="C420" t="str">
        <f>VLOOKUP(A420,גיליון2!$B$5:$C$1319,2,0)</f>
        <v>איזי ג'ודו הרצליה</v>
      </c>
    </row>
    <row r="421" spans="1:3" ht="12.75">
      <c r="A421" s="83">
        <v>580382307</v>
      </c>
      <c r="B421" s="84">
        <v>29287.12</v>
      </c>
      <c r="C421" t="str">
        <f>VLOOKUP(A421,גיליון2!$B$5:$C$1319,2,0)</f>
        <v>עירוני קרית אונו</v>
      </c>
    </row>
    <row r="422" spans="1:3" ht="12.75">
      <c r="A422" s="83">
        <v>580382315</v>
      </c>
      <c r="B422" s="84">
        <v>11425.8</v>
      </c>
      <c r="C422" t="str">
        <f>VLOOKUP(A422,גיליון2!$B$5:$C$1319,2,0)</f>
        <v>עמותת ניווט מודיעים</v>
      </c>
    </row>
    <row r="423" spans="1:3" ht="12.75">
      <c r="A423" s="83">
        <v>580382406</v>
      </c>
      <c r="B423" s="84">
        <v>60166.5</v>
      </c>
      <c r="C423" t="str">
        <f>VLOOKUP(A423,גיליון2!$B$5:$C$1319,2,0)</f>
        <v>כפפות הזהב עפולה</v>
      </c>
    </row>
    <row r="424" spans="1:3" ht="12.75">
      <c r="A424" s="83">
        <v>580382463</v>
      </c>
      <c r="B424" s="84">
        <v>171077.95</v>
      </c>
      <c r="C424" t="str">
        <f>VLOOKUP(A424,גיליון2!$B$5:$C$1319,2,0)</f>
        <v>עמותת מכבי באר שבע בראשות אבוקסיס מוטי</v>
      </c>
    </row>
    <row r="425" spans="1:3" ht="12.75">
      <c r="A425" s="83">
        <v>580384204</v>
      </c>
      <c r="B425" s="84">
        <v>89448.47</v>
      </c>
      <c r="C425" t="str">
        <f>VLOOKUP(A425,גיליון2!$B$5:$C$1319,2,0)</f>
        <v>הפועל מיתר</v>
      </c>
    </row>
    <row r="426" spans="1:3" ht="12.75">
      <c r="A426" s="83">
        <v>580384816</v>
      </c>
      <c r="B426" s="84">
        <v>80957.17</v>
      </c>
      <c r="C426" t="str">
        <f>VLOOKUP(A426,גיליון2!$B$5:$C$1319,2,0)</f>
        <v>מכבי מתן</v>
      </c>
    </row>
    <row r="427" spans="1:3" ht="12.75">
      <c r="A427" s="83">
        <v>580384881</v>
      </c>
      <c r="B427" s="84">
        <v>154668.42</v>
      </c>
      <c r="C427" t="str">
        <f>VLOOKUP(A427,גיליון2!$B$5:$C$1319,2,0)</f>
        <v>העמותה לקידום כדורגל נשים בפתח תקווה</v>
      </c>
    </row>
    <row r="428" spans="1:3" ht="12.75">
      <c r="A428" s="83">
        <v>580386092</v>
      </c>
      <c r="B428" s="84">
        <v>142538.08</v>
      </c>
      <c r="C428" t="str">
        <f>VLOOKUP(A428,גיליון2!$B$5:$C$1319,2,0)</f>
        <v>עמותת מועדון הכדורסל מכבי אום אל פחם</v>
      </c>
    </row>
    <row r="429" spans="1:3" ht="12.75">
      <c r="A429" s="83">
        <v>580386316</v>
      </c>
      <c r="B429" s="84">
        <v>5553.06</v>
      </c>
      <c r="C429" t="str">
        <f>VLOOKUP(A429,גיליון2!$B$5:$C$1319,2,0)</f>
        <v>עמותת דרך לעתיד</v>
      </c>
    </row>
    <row r="430" spans="1:3" ht="12.75">
      <c r="A430" s="83">
        <v>580386456</v>
      </c>
      <c r="B430" s="84">
        <v>307284.91</v>
      </c>
      <c r="C430" t="str">
        <f>VLOOKUP(A430,גיליון2!$B$5:$C$1319,2,0)</f>
        <v>מכבי מועדון ספורט יהודה רחובות</v>
      </c>
    </row>
    <row r="431" spans="1:3" ht="12.75">
      <c r="A431" s="83">
        <v>580386639</v>
      </c>
      <c r="B431" s="84">
        <v>3622.07</v>
      </c>
      <c r="C431" t="e">
        <f>VLOOKUP(A431,גיליון2!$B$5:$C$1319,2,0)</f>
        <v>#N/A</v>
      </c>
    </row>
    <row r="432" spans="1:3" ht="12.75">
      <c r="A432" s="83">
        <v>580387504</v>
      </c>
      <c r="B432" s="84">
        <v>269709.62</v>
      </c>
      <c r="C432" t="str">
        <f>VLOOKUP(A432,גיליון2!$B$5:$C$1319,2,0)</f>
        <v>הפועל עפולה</v>
      </c>
    </row>
    <row r="433" spans="1:3" ht="12.75">
      <c r="A433" s="83">
        <v>580388205</v>
      </c>
      <c r="B433" s="84">
        <v>22783.67</v>
      </c>
      <c r="C433" t="str">
        <f>VLOOKUP(A433,גיליון2!$B$5:$C$1319,2,0)</f>
        <v>האבקות הפועל עכו בית ספר לעתודה אולימפית</v>
      </c>
    </row>
    <row r="434" spans="1:3" ht="12.75">
      <c r="A434" s="83">
        <v>580388536</v>
      </c>
      <c r="B434" s="84">
        <v>220230.34</v>
      </c>
      <c r="C434" t="str">
        <f>VLOOKUP(A434,גיליון2!$B$5:$C$1319,2,0)</f>
        <v>ה.ל.ה.ב</v>
      </c>
    </row>
    <row r="435" spans="1:3" ht="12.75">
      <c r="A435" s="83">
        <v>580388817</v>
      </c>
      <c r="B435" s="84">
        <v>3424.37</v>
      </c>
      <c r="C435" t="e">
        <f>VLOOKUP(A435,גיליון2!$B$5:$C$1319,2,0)</f>
        <v>#N/A</v>
      </c>
    </row>
    <row r="436" spans="1:3" ht="12.75">
      <c r="A436" s="83">
        <v>580391845</v>
      </c>
      <c r="B436" s="84">
        <v>49961.05</v>
      </c>
      <c r="C436" t="str">
        <f>VLOOKUP(A436,גיליון2!$B$5:$C$1319,2,0)</f>
        <v>מועדון טניס הרצליה</v>
      </c>
    </row>
    <row r="437" spans="1:3" ht="12.75">
      <c r="A437" s="83">
        <v>580393502</v>
      </c>
      <c r="B437" s="84">
        <v>64142.13</v>
      </c>
      <c r="C437" t="str">
        <f>VLOOKUP(A437,גיליון2!$B$5:$C$1319,2,0)</f>
        <v>העמותה לקידום הכדורסל בקריית ביאליק</v>
      </c>
    </row>
    <row r="438" spans="1:3" ht="12.75">
      <c r="A438" s="83">
        <v>580394278</v>
      </c>
      <c r="B438" s="84">
        <v>803447</v>
      </c>
      <c r="C438" t="str">
        <f>VLOOKUP(A438,גיליון2!$B$5:$C$1319,2,0)</f>
        <v>מועדון כדורסל גלבוע עפולה</v>
      </c>
    </row>
    <row r="439" spans="1:3" ht="12.75">
      <c r="A439" s="83">
        <v>580395044</v>
      </c>
      <c r="B439" s="84">
        <v>5084</v>
      </c>
      <c r="C439" t="str">
        <f>VLOOKUP(A439,גיליון2!$B$5:$C$1319,2,0)</f>
        <v>קלוב התעופה - חדרה</v>
      </c>
    </row>
    <row r="440" spans="1:3" ht="12.75">
      <c r="A440" s="83">
        <v>580395366</v>
      </c>
      <c r="B440" s="84">
        <v>50275.97</v>
      </c>
      <c r="C440" t="e">
        <f>VLOOKUP(A440,גיליון2!$B$5:$C$1319,2,0)</f>
        <v>#N/A</v>
      </c>
    </row>
    <row r="441" spans="1:3" ht="12.75">
      <c r="A441" s="83">
        <v>580395465</v>
      </c>
      <c r="B441" s="84">
        <v>234408.32</v>
      </c>
      <c r="C441" t="str">
        <f>VLOOKUP(A441,גיליון2!$B$5:$C$1319,2,0)</f>
        <v>הנוער של בית אליעזר חדרה</v>
      </c>
    </row>
    <row r="442" spans="1:3" ht="12.75">
      <c r="A442" s="83">
        <v>580395523</v>
      </c>
      <c r="B442" s="84">
        <v>115064.96</v>
      </c>
      <c r="C442" t="str">
        <f>VLOOKUP(A442,גיליון2!$B$5:$C$1319,2,0)</f>
        <v>העמותה לקידום הספורט ותרבות הפנאי שומרון</v>
      </c>
    </row>
    <row r="443" spans="1:3" ht="12.75">
      <c r="A443" s="83">
        <v>580395853</v>
      </c>
      <c r="B443" s="84">
        <v>4011.55</v>
      </c>
      <c r="C443" t="str">
        <f>VLOOKUP(A443,גיליון2!$B$5:$C$1319,2,0)</f>
        <v>עמותת טניס שולחן נס ציונה</v>
      </c>
    </row>
    <row r="444" spans="1:3" ht="12.75">
      <c r="A444" s="83">
        <v>580396059</v>
      </c>
      <c r="B444" s="84">
        <v>87459.24</v>
      </c>
      <c r="C444" t="str">
        <f>VLOOKUP(A444,גיליון2!$B$5:$C$1319,2,0)</f>
        <v>נוער חולון לקידום הספורט</v>
      </c>
    </row>
    <row r="445" spans="1:3" ht="12.75">
      <c r="A445" s="83">
        <v>580396141</v>
      </c>
      <c r="B445" s="84">
        <v>3194.01</v>
      </c>
      <c r="C445" t="e">
        <f>VLOOKUP(A445,גיליון2!$B$5:$C$1319,2,0)</f>
        <v>#N/A</v>
      </c>
    </row>
    <row r="446" spans="1:3" ht="12.75">
      <c r="A446" s="83">
        <v>580396836</v>
      </c>
      <c r="B446" s="84">
        <v>19982.59</v>
      </c>
      <c r="C446" t="e">
        <f>VLOOKUP(A446,גיליון2!$B$5:$C$1319,2,0)</f>
        <v>#N/A</v>
      </c>
    </row>
    <row r="447" spans="1:3" ht="12.75">
      <c r="A447" s="83">
        <v>580397107</v>
      </c>
      <c r="B447" s="84">
        <v>79254.48</v>
      </c>
      <c r="C447" t="str">
        <f>VLOOKUP(A447,גיליון2!$B$5:$C$1319,2,0)</f>
        <v>נתיבי הספורט נתיבות</v>
      </c>
    </row>
    <row r="448" spans="1:3" ht="12.75">
      <c r="A448" s="83">
        <v>580397545</v>
      </c>
      <c r="B448" s="84">
        <v>16409.52</v>
      </c>
      <c r="C448" t="e">
        <f>VLOOKUP(A448,גיליון2!$B$5:$C$1319,2,0)</f>
        <v>#N/A</v>
      </c>
    </row>
    <row r="449" spans="1:3" ht="12.75">
      <c r="A449" s="83">
        <v>580398642</v>
      </c>
      <c r="B449" s="84">
        <v>80177.66</v>
      </c>
      <c r="C449" t="str">
        <f>VLOOKUP(A449,גיליון2!$B$5:$C$1319,2,0)</f>
        <v>מכבי בית דגן</v>
      </c>
    </row>
    <row r="450" spans="1:3" ht="12.75">
      <c r="A450" s="83">
        <v>580398782</v>
      </c>
      <c r="B450" s="84">
        <v>91981.6</v>
      </c>
      <c r="C450" t="e">
        <f>VLOOKUP(A450,גיליון2!$B$5:$C$1319,2,0)</f>
        <v>#N/A</v>
      </c>
    </row>
    <row r="451" spans="1:3" ht="12.75">
      <c r="A451" s="83">
        <v>580399111</v>
      </c>
      <c r="B451" s="84">
        <v>32819.03</v>
      </c>
      <c r="C451" t="str">
        <f>VLOOKUP(A451,גיליון2!$B$5:$C$1319,2,0)</f>
        <v>קבוצת הכדורגל שיכון ותיקים ר"ג</v>
      </c>
    </row>
    <row r="452" spans="1:3" ht="12.75">
      <c r="A452" s="83">
        <v>580399285</v>
      </c>
      <c r="B452" s="84">
        <v>3650.32</v>
      </c>
      <c r="C452" t="str">
        <f>VLOOKUP(A452,גיליון2!$B$5:$C$1319,2,0)</f>
        <v>מכבי גבירול באר שבע</v>
      </c>
    </row>
    <row r="453" spans="1:3" ht="12.75">
      <c r="A453" s="83">
        <v>580399731</v>
      </c>
      <c r="B453" s="84">
        <v>2210.16</v>
      </c>
      <c r="C453" t="str">
        <f>VLOOKUP(A453,גיליון2!$B$5:$C$1319,2,0)</f>
        <v>באוול 300- חולון</v>
      </c>
    </row>
    <row r="454" spans="1:3" ht="12.75">
      <c r="A454" s="83">
        <v>580401206</v>
      </c>
      <c r="B454" s="84">
        <v>30668.63</v>
      </c>
      <c r="C454" t="str">
        <f>VLOOKUP(A454,גיליון2!$B$5:$C$1319,2,0)</f>
        <v>עמותת קודוקאן מרכז ישראל</v>
      </c>
    </row>
    <row r="455" spans="1:3" ht="12.75">
      <c r="A455" s="83">
        <v>580401339</v>
      </c>
      <c r="B455" s="84">
        <v>190106</v>
      </c>
      <c r="C455" t="str">
        <f>VLOOKUP(A455,גיליון2!$B$5:$C$1319,2,0)</f>
        <v>העמותה לקידום הכדורגל בטבריה</v>
      </c>
    </row>
    <row r="456" spans="1:3" ht="12.75">
      <c r="A456" s="83">
        <v>580401818</v>
      </c>
      <c r="B456" s="84">
        <v>457227.83</v>
      </c>
      <c r="C456" t="str">
        <f>VLOOKUP(A456,גיליון2!$B$5:$C$1319,2,0)</f>
        <v>ספורטאי מכבי אשדוד</v>
      </c>
    </row>
    <row r="457" spans="1:3" ht="12.75">
      <c r="A457" s="83">
        <v>580402048</v>
      </c>
      <c r="B457" s="84">
        <v>263496.65</v>
      </c>
      <c r="C457" t="str">
        <f>VLOOKUP(A457,גיליון2!$B$5:$C$1319,2,0)</f>
        <v>העמותה לקידום הכדוריד ברחובות</v>
      </c>
    </row>
    <row r="458" spans="1:3" ht="12.75">
      <c r="A458" s="83">
        <v>580402709</v>
      </c>
      <c r="B458" s="84">
        <v>191328</v>
      </c>
      <c r="C458" t="str">
        <f>VLOOKUP(A458,גיליון2!$B$5:$C$1319,2,0)</f>
        <v>ספורטאי הוד השרון - עמותה להתעמלות ולספורט</v>
      </c>
    </row>
    <row r="459" spans="1:3" ht="12.75">
      <c r="A459" s="83">
        <v>580402808</v>
      </c>
      <c r="B459" s="84">
        <v>114698.59</v>
      </c>
      <c r="C459" t="str">
        <f>VLOOKUP(A459,גיליון2!$B$5:$C$1319,2,0)</f>
        <v>מועדון הכדורסל אליצור אשדוד</v>
      </c>
    </row>
    <row r="460" spans="1:3" ht="12.75">
      <c r="A460" s="83">
        <v>580403178</v>
      </c>
      <c r="B460" s="84">
        <v>16968.1</v>
      </c>
      <c r="C460" t="str">
        <f>VLOOKUP(A460,גיליון2!$B$5:$C$1319,2,0)</f>
        <v>קאנטרי קלאב כפר סבא</v>
      </c>
    </row>
    <row r="461" spans="1:3" ht="12.75">
      <c r="A461" s="83">
        <v>580403491</v>
      </c>
      <c r="B461" s="84">
        <v>4705.95</v>
      </c>
      <c r="C461" t="str">
        <f>VLOOKUP(A461,גיליון2!$B$5:$C$1319,2,0)</f>
        <v>אקווטלון נתניה</v>
      </c>
    </row>
    <row r="462" spans="1:3" ht="12.75">
      <c r="A462" s="83">
        <v>580403590</v>
      </c>
      <c r="B462" s="84">
        <v>329507.94</v>
      </c>
      <c r="C462" t="str">
        <f>VLOOKUP(A462,גיליון2!$B$5:$C$1319,2,0)</f>
        <v>מועדון כדורסל עוצמה מודיעין</v>
      </c>
    </row>
    <row r="463" spans="1:3" ht="12.75">
      <c r="A463" s="83">
        <v>580404069</v>
      </c>
      <c r="B463" s="84">
        <v>189273.79</v>
      </c>
      <c r="C463" t="str">
        <f>VLOOKUP(A463,גיליון2!$B$5:$C$1319,2,0)</f>
        <v>מכבי תיכון חדרה כדורעף</v>
      </c>
    </row>
    <row r="464" spans="1:3" ht="12.75">
      <c r="A464" s="83">
        <v>580404598</v>
      </c>
      <c r="B464" s="84">
        <v>34342.2</v>
      </c>
      <c r="C464" t="str">
        <f>VLOOKUP(A464,גיליון2!$B$5:$C$1319,2,0)</f>
        <v>גל אולימפי הפועל אשדוד</v>
      </c>
    </row>
    <row r="465" spans="1:3" ht="12.75">
      <c r="A465" s="83">
        <v>580404796</v>
      </c>
      <c r="B465" s="84">
        <v>55122.15</v>
      </c>
      <c r="C465" t="str">
        <f>VLOOKUP(A465,גיליון2!$B$5:$C$1319,2,0)</f>
        <v>הפועל נשר כדורסל לנוער</v>
      </c>
    </row>
    <row r="466" spans="1:3" ht="12.75">
      <c r="A466" s="83">
        <v>580405074</v>
      </c>
      <c r="B466" s="84">
        <v>4862.35</v>
      </c>
      <c r="C466" t="str">
        <f>VLOOKUP(A466,גיליון2!$B$5:$C$1319,2,0)</f>
        <v>עמותת באולינג הרצליה</v>
      </c>
    </row>
    <row r="467" spans="1:3" ht="12.75">
      <c r="A467" s="83">
        <v>580405157</v>
      </c>
      <c r="B467" s="84">
        <v>21297.46</v>
      </c>
      <c r="C467" t="e">
        <f>VLOOKUP(A467,גיליון2!$B$5:$C$1319,2,0)</f>
        <v>#N/A</v>
      </c>
    </row>
    <row r="468" spans="1:3" ht="12.75">
      <c r="A468" s="83">
        <v>580406437</v>
      </c>
      <c r="B468" s="84">
        <v>174918.48</v>
      </c>
      <c r="C468" t="str">
        <f>VLOOKUP(A468,גיליון2!$B$5:$C$1319,2,0)</f>
        <v>העמותה לקידום מועדון הכדורגל הפועל איחוד קריית אונו 2003</v>
      </c>
    </row>
    <row r="469" spans="1:3" ht="12.75">
      <c r="A469" s="83">
        <v>580406817</v>
      </c>
      <c r="B469" s="84">
        <v>110132.93</v>
      </c>
      <c r="C469" t="str">
        <f>VLOOKUP(A469,גיליון2!$B$5:$C$1319,2,0)</f>
        <v>כאן בשבילך- מגדל העמק</v>
      </c>
    </row>
    <row r="470" spans="1:3" ht="12.75">
      <c r="A470" s="83">
        <v>580407054</v>
      </c>
      <c r="B470" s="84">
        <v>22355.11</v>
      </c>
      <c r="C470" t="str">
        <f>VLOOKUP(A470,גיליון2!$B$5:$C$1319,2,0)</f>
        <v>אדמה רוח ואש</v>
      </c>
    </row>
    <row r="471" spans="1:3" ht="12.75">
      <c r="A471" s="83">
        <v>580407773</v>
      </c>
      <c r="B471" s="84">
        <v>64066.94</v>
      </c>
      <c r="C471" t="e">
        <f>VLOOKUP(A471,גיליון2!$B$5:$C$1319,2,0)</f>
        <v>#N/A</v>
      </c>
    </row>
    <row r="472" spans="1:3" ht="12.75">
      <c r="A472" s="83">
        <v>580407880</v>
      </c>
      <c r="B472" s="84">
        <v>245374.66</v>
      </c>
      <c r="C472" t="str">
        <f>VLOOKUP(A472,גיליון2!$B$5:$C$1319,2,0)</f>
        <v>מ.ס רמת אביב</v>
      </c>
    </row>
    <row r="473" spans="1:3" ht="12.75">
      <c r="A473" s="83">
        <v>580408607</v>
      </c>
      <c r="B473" s="84">
        <v>164095.19</v>
      </c>
      <c r="C473" t="str">
        <f>VLOOKUP(A473,גיליון2!$B$5:$C$1319,2,0)</f>
        <v>עמותת מ.ס בת ים כדורגל 2003</v>
      </c>
    </row>
    <row r="474" spans="1:3" ht="12.75">
      <c r="A474" s="83">
        <v>580408847</v>
      </c>
      <c r="B474" s="84">
        <v>144765.22</v>
      </c>
      <c r="C474" t="str">
        <f>VLOOKUP(A474,גיליון2!$B$5:$C$1319,2,0)</f>
        <v>כדורסלני מכבי אשדוד</v>
      </c>
    </row>
    <row r="475" spans="1:3" ht="12.75">
      <c r="A475" s="83">
        <v>580409605</v>
      </c>
      <c r="B475" s="84">
        <v>28517.1</v>
      </c>
      <c r="C475" t="str">
        <f>VLOOKUP(A475,גיליון2!$B$5:$C$1319,2,0)</f>
        <v>מכבי קרית מוצקין</v>
      </c>
    </row>
    <row r="476" spans="1:3" ht="12.75">
      <c r="A476" s="83">
        <v>580410108</v>
      </c>
      <c r="B476" s="84">
        <v>62151.21</v>
      </c>
      <c r="C476" t="str">
        <f>VLOOKUP(A476,גיליון2!$B$5:$C$1319,2,0)</f>
        <v>עמותה לקידום הספורט בעמק המעיינות</v>
      </c>
    </row>
    <row r="477" spans="1:3" ht="12.75">
      <c r="A477" s="83">
        <v>580410611</v>
      </c>
      <c r="B477" s="84">
        <v>32819.03</v>
      </c>
      <c r="C477" t="str">
        <f>VLOOKUP(A477,גיליון2!$B$5:$C$1319,2,0)</f>
        <v>מ.ס.ד.ר יפו ת"א</v>
      </c>
    </row>
    <row r="478" spans="1:3" ht="12.75">
      <c r="A478" s="83">
        <v>580410694</v>
      </c>
      <c r="B478" s="84">
        <v>52118.64</v>
      </c>
      <c r="C478" t="str">
        <f>VLOOKUP(A478,גיליון2!$B$5:$C$1319,2,0)</f>
        <v>העמותה לקידום השחייה ברחובות</v>
      </c>
    </row>
    <row r="479" spans="1:3" ht="12.75">
      <c r="A479" s="83">
        <v>580410991</v>
      </c>
      <c r="B479" s="84">
        <v>59687.81</v>
      </c>
      <c r="C479" t="str">
        <f>VLOOKUP(A479,גיליון2!$B$5:$C$1319,2,0)</f>
        <v>מועדון הכדורסל מכבי פרדס חנה / קיסריה</v>
      </c>
    </row>
    <row r="480" spans="1:3" ht="12.75">
      <c r="A480" s="83">
        <v>580411726</v>
      </c>
      <c r="B480" s="84">
        <v>10116.28</v>
      </c>
      <c r="C480" t="e">
        <f>VLOOKUP(A480,גיליון2!$B$5:$C$1319,2,0)</f>
        <v>#N/A</v>
      </c>
    </row>
    <row r="481" spans="1:3" ht="12.75">
      <c r="A481" s="83">
        <v>580411858</v>
      </c>
      <c r="B481" s="84">
        <v>196435.28</v>
      </c>
      <c r="C481" t="str">
        <f>VLOOKUP(A481,גיליון2!$B$5:$C$1319,2,0)</f>
        <v>הפועל עירוני אעבלין</v>
      </c>
    </row>
    <row r="482" spans="1:3" ht="12.75">
      <c r="A482" s="83">
        <v>580411908</v>
      </c>
      <c r="B482" s="84">
        <v>115739.47</v>
      </c>
      <c r="C482" t="str">
        <f>VLOOKUP(A482,גיליון2!$B$5:$C$1319,2,0)</f>
        <v>מועדון כדורגל ארזים חולון</v>
      </c>
    </row>
    <row r="483" spans="1:3" ht="12.75">
      <c r="A483" s="83">
        <v>580411973</v>
      </c>
      <c r="B483" s="84">
        <v>14169.96</v>
      </c>
      <c r="C483" t="e">
        <f>VLOOKUP(A483,גיליון2!$B$5:$C$1319,2,0)</f>
        <v>#N/A</v>
      </c>
    </row>
    <row r="484" spans="1:3" ht="12.75">
      <c r="A484" s="83">
        <v>580412898</v>
      </c>
      <c r="B484" s="84">
        <v>24650.71</v>
      </c>
      <c r="C484" t="e">
        <f>VLOOKUP(A484,גיליון2!$B$5:$C$1319,2,0)</f>
        <v>#N/A</v>
      </c>
    </row>
    <row r="485" spans="1:3" ht="12.75">
      <c r="A485" s="83">
        <v>580413961</v>
      </c>
      <c r="B485" s="84">
        <v>216116.84</v>
      </c>
      <c r="C485" t="str">
        <f>VLOOKUP(A485,גיליון2!$B$5:$C$1319,2,0)</f>
        <v>ביתר מעלה אדומים</v>
      </c>
    </row>
    <row r="486" spans="1:3" ht="12.75">
      <c r="A486" s="83">
        <v>580413995</v>
      </c>
      <c r="B486" s="84">
        <v>110851.52</v>
      </c>
      <c r="C486" t="str">
        <f>VLOOKUP(A486,גיליון2!$B$5:$C$1319,2,0)</f>
        <v>הפועל כפר קנא</v>
      </c>
    </row>
    <row r="487" spans="1:3" ht="12.75">
      <c r="A487" s="83">
        <v>580414118</v>
      </c>
      <c r="B487" s="84">
        <v>39627.24</v>
      </c>
      <c r="C487" t="str">
        <f>VLOOKUP(A487,גיליון2!$B$5:$C$1319,2,0)</f>
        <v>העמותה לחינוך תרבות וספורט בכפר סמיע</v>
      </c>
    </row>
    <row r="488" spans="1:3" ht="12.75">
      <c r="A488" s="83">
        <v>580414266</v>
      </c>
      <c r="B488" s="84">
        <v>292664.7</v>
      </c>
      <c r="C488" t="str">
        <f>VLOOKUP(A488,גיליון2!$B$5:$C$1319,2,0)</f>
        <v>מכבי שדרות</v>
      </c>
    </row>
    <row r="489" spans="1:3" ht="12.75">
      <c r="A489" s="83">
        <v>580414613</v>
      </c>
      <c r="B489" s="84">
        <v>221705.18</v>
      </c>
      <c r="C489" t="str">
        <f>VLOOKUP(A489,גיליון2!$B$5:$C$1319,2,0)</f>
        <v>מועדון ספורט עילבון</v>
      </c>
    </row>
    <row r="490" spans="1:3" ht="12.75">
      <c r="A490" s="83">
        <v>580414803</v>
      </c>
      <c r="B490" s="84">
        <v>69129.45</v>
      </c>
      <c r="C490" t="e">
        <f>VLOOKUP(A490,גיליון2!$B$5:$C$1319,2,0)</f>
        <v>#N/A</v>
      </c>
    </row>
    <row r="491" spans="1:3" ht="12.75">
      <c r="A491" s="83">
        <v>580415040</v>
      </c>
      <c r="B491" s="84">
        <v>294847.6</v>
      </c>
      <c r="C491" t="str">
        <f>VLOOKUP(A491,גיליון2!$B$5:$C$1319,2,0)</f>
        <v>בני יהודה תל אביב</v>
      </c>
    </row>
    <row r="492" spans="1:3" ht="12.75">
      <c r="A492" s="83">
        <v>580416634</v>
      </c>
      <c r="B492" s="84">
        <v>5189.59</v>
      </c>
      <c r="C492" t="e">
        <f>VLOOKUP(A492,גיליון2!$B$5:$C$1319,2,0)</f>
        <v>#N/A</v>
      </c>
    </row>
    <row r="493" spans="1:3" ht="12.75">
      <c r="A493" s="83">
        <v>580416824</v>
      </c>
      <c r="B493" s="84">
        <v>778486.4</v>
      </c>
      <c r="C493" t="str">
        <f>VLOOKUP(A493,גיליון2!$B$5:$C$1319,2,0)</f>
        <v>ע.ל.ה העמותה לקידום הספורט ברעננה</v>
      </c>
    </row>
    <row r="494" spans="1:3" ht="12.75">
      <c r="A494" s="83">
        <v>580417020</v>
      </c>
      <c r="B494" s="84">
        <v>87110.1</v>
      </c>
      <c r="C494" t="str">
        <f>VLOOKUP(A494,גיליון2!$B$5:$C$1319,2,0)</f>
        <v>עמותת נצרת 2003</v>
      </c>
    </row>
    <row r="495" spans="1:3" ht="12.75">
      <c r="A495" s="83">
        <v>580417509</v>
      </c>
      <c r="B495" s="84">
        <v>1345007.67</v>
      </c>
      <c r="C495" t="str">
        <f>VLOOKUP(A495,גיליון2!$B$5:$C$1319,2,0)</f>
        <v>עמותה לקידום הספורט בעמק חפר</v>
      </c>
    </row>
    <row r="496" spans="1:3" ht="12.75">
      <c r="A496" s="83">
        <v>580417608</v>
      </c>
      <c r="B496" s="84">
        <v>130926.98</v>
      </c>
      <c r="C496" t="str">
        <f>VLOOKUP(A496,גיליון2!$B$5:$C$1319,2,0)</f>
        <v>העמותה לקידום כדורגל נשים הפועל באר שבע נשים</v>
      </c>
    </row>
    <row r="497" spans="1:3" ht="12.75">
      <c r="A497" s="83">
        <v>580417681</v>
      </c>
      <c r="B497" s="84">
        <v>147686.15</v>
      </c>
      <c r="C497" t="str">
        <f>VLOOKUP(A497,גיליון2!$B$5:$C$1319,2,0)</f>
        <v>מועדון ספורט גדרות</v>
      </c>
    </row>
    <row r="498" spans="1:3" ht="12.75">
      <c r="A498" s="83">
        <v>580417715</v>
      </c>
      <c r="B498" s="84">
        <v>116123.11</v>
      </c>
      <c r="C498" t="str">
        <f>VLOOKUP(A498,גיליון2!$B$5:$C$1319,2,0)</f>
        <v>העמותה מעגן מיכאל/ שדות ים ספורט</v>
      </c>
    </row>
    <row r="499" spans="1:3" ht="12.75">
      <c r="A499" s="83">
        <v>580418226</v>
      </c>
      <c r="B499" s="84">
        <v>58908.31</v>
      </c>
      <c r="C499" t="str">
        <f>VLOOKUP(A499,גיליון2!$B$5:$C$1319,2,0)</f>
        <v>הפועל להבים</v>
      </c>
    </row>
    <row r="500" spans="1:3" ht="12.75">
      <c r="A500" s="83">
        <v>580418663</v>
      </c>
      <c r="B500" s="84">
        <v>202337.25</v>
      </c>
      <c r="C500" t="str">
        <f>VLOOKUP(A500,גיליון2!$B$5:$C$1319,2,0)</f>
        <v>עמותה לקידום הספורט אבן יהודה</v>
      </c>
    </row>
    <row r="501" spans="1:3" ht="12.75">
      <c r="A501" s="83">
        <v>580418689</v>
      </c>
      <c r="B501" s="84">
        <v>34855.01</v>
      </c>
      <c r="C501" t="str">
        <f>VLOOKUP(A501,גיליון2!$B$5:$C$1319,2,0)</f>
        <v>עמותה לקידום הספורט באלפי מנשה</v>
      </c>
    </row>
    <row r="502" spans="1:3" ht="12.75">
      <c r="A502" s="83">
        <v>580418820</v>
      </c>
      <c r="B502" s="84">
        <v>109280.4</v>
      </c>
      <c r="C502" t="str">
        <f>VLOOKUP(A502,גיליון2!$B$5:$C$1319,2,0)</f>
        <v>מ.ס. צעירי שיכון המזרח</v>
      </c>
    </row>
    <row r="503" spans="1:3" ht="12.75">
      <c r="A503" s="83">
        <v>580418853</v>
      </c>
      <c r="B503" s="84">
        <v>177329.12</v>
      </c>
      <c r="C503" t="str">
        <f>VLOOKUP(A503,גיליון2!$B$5:$C$1319,2,0)</f>
        <v>עמותה לקידום הספורט בחבל אילות</v>
      </c>
    </row>
    <row r="504" spans="1:3" ht="12.75">
      <c r="A504" s="83">
        <v>580418960</v>
      </c>
      <c r="B504" s="84">
        <v>1007639.48</v>
      </c>
      <c r="C504" t="str">
        <f>VLOOKUP(A504,גיליון2!$B$5:$C$1319,2,0)</f>
        <v>העמותה לקידום הספורט במשגב</v>
      </c>
    </row>
    <row r="505" spans="1:3" ht="12.75">
      <c r="A505" s="83">
        <v>580419216</v>
      </c>
      <c r="B505" s="84">
        <v>58824.21</v>
      </c>
      <c r="C505" t="str">
        <f>VLOOKUP(A505,גיליון2!$B$5:$C$1319,2,0)</f>
        <v>מכבי שהם</v>
      </c>
    </row>
    <row r="506" spans="1:3" ht="12.75">
      <c r="A506" s="83">
        <v>580419307</v>
      </c>
      <c r="B506" s="84">
        <v>58323.24</v>
      </c>
      <c r="C506" t="e">
        <f>VLOOKUP(A506,גיליון2!$B$5:$C$1319,2,0)</f>
        <v>#N/A</v>
      </c>
    </row>
    <row r="507" spans="1:3" ht="12.75">
      <c r="A507" s="83">
        <v>580419315</v>
      </c>
      <c r="B507" s="84">
        <v>283544.15</v>
      </c>
      <c r="C507" t="str">
        <f>VLOOKUP(A507,גיליון2!$B$5:$C$1319,2,0)</f>
        <v>קידום הספורט במזכרת בתיה</v>
      </c>
    </row>
    <row r="508" spans="1:3" ht="12.75">
      <c r="A508" s="83">
        <v>580419810</v>
      </c>
      <c r="B508" s="84">
        <v>163979.9</v>
      </c>
      <c r="C508" t="str">
        <f>VLOOKUP(A508,גיליון2!$B$5:$C$1319,2,0)</f>
        <v>עמותת ספורט חוף הכרמל</v>
      </c>
    </row>
    <row r="509" spans="1:3" ht="12.75">
      <c r="A509" s="83">
        <v>580419950</v>
      </c>
      <c r="B509" s="84">
        <v>131101.57</v>
      </c>
      <c r="C509" t="str">
        <f>VLOOKUP(A509,גיליון2!$B$5:$C$1319,2,0)</f>
        <v>ביתר כפר סבא</v>
      </c>
    </row>
    <row r="510" spans="1:3" ht="12.75">
      <c r="A510" s="83">
        <v>580420347</v>
      </c>
      <c r="B510" s="84">
        <v>439445.29</v>
      </c>
      <c r="C510" t="str">
        <f>VLOOKUP(A510,גיליון2!$B$5:$C$1319,2,0)</f>
        <v>עמותת הספורט בעמק הירדן</v>
      </c>
    </row>
    <row r="511" spans="1:3" ht="12.75">
      <c r="A511" s="83">
        <v>580420768</v>
      </c>
      <c r="B511" s="84">
        <v>204379.2</v>
      </c>
      <c r="C511" t="str">
        <f>VLOOKUP(A511,גיליון2!$B$5:$C$1319,2,0)</f>
        <v>עמותה לספורט הפועל לב השרון</v>
      </c>
    </row>
    <row r="512" spans="1:3" ht="12.75">
      <c r="A512" s="83">
        <v>580420883</v>
      </c>
      <c r="B512" s="84">
        <v>115032.68</v>
      </c>
      <c r="C512" t="str">
        <f>VLOOKUP(A512,גיליון2!$B$5:$C$1319,2,0)</f>
        <v>עמותת בני אכסאל</v>
      </c>
    </row>
    <row r="513" spans="1:3" ht="12.75">
      <c r="A513" s="83">
        <v>580421105</v>
      </c>
      <c r="B513" s="84">
        <v>257375.78</v>
      </c>
      <c r="C513" t="str">
        <f>VLOOKUP(A513,גיליון2!$B$5:$C$1319,2,0)</f>
        <v>עלה אור יהודה</v>
      </c>
    </row>
    <row r="514" spans="1:3" ht="12.75">
      <c r="A514" s="83">
        <v>580421402</v>
      </c>
      <c r="B514" s="84">
        <v>13235.65</v>
      </c>
      <c r="C514" t="str">
        <f>VLOOKUP(A514,גיליון2!$B$5:$C$1319,2,0)</f>
        <v>כדור נוצה פתח תקוה</v>
      </c>
    </row>
    <row r="515" spans="1:3" ht="12.75">
      <c r="A515" s="83">
        <v>580421915</v>
      </c>
      <c r="B515" s="84">
        <v>1087552.86</v>
      </c>
      <c r="C515" t="str">
        <f>VLOOKUP(A515,גיליון2!$B$5:$C$1319,2,0)</f>
        <v>עמותת הספורט כחול לבן - בעמק יזרעאל</v>
      </c>
    </row>
    <row r="516" spans="1:3" ht="12.75">
      <c r="A516" s="83">
        <v>580422129</v>
      </c>
      <c r="B516" s="84">
        <v>43169.61</v>
      </c>
      <c r="C516" t="str">
        <f>VLOOKUP(A516,גיליון2!$B$5:$C$1319,2,0)</f>
        <v>עמותת הפועל אבירי בת ים</v>
      </c>
    </row>
    <row r="517" spans="1:3" ht="12.75">
      <c r="A517" s="83">
        <v>580422277</v>
      </c>
      <c r="B517" s="84">
        <v>91981.6</v>
      </c>
      <c r="C517" t="str">
        <f>VLOOKUP(A517,גיליון2!$B$5:$C$1319,2,0)</f>
        <v>העמותה לקידום כדורסל נשים בנתניה</v>
      </c>
    </row>
    <row r="518" spans="1:3" ht="12.75">
      <c r="A518" s="83">
        <v>580422962</v>
      </c>
      <c r="B518" s="84">
        <v>47688.87</v>
      </c>
      <c r="C518" t="str">
        <f>VLOOKUP(A518,גיליון2!$B$5:$C$1319,2,0)</f>
        <v>מועדון רזי הטאקוונדו</v>
      </c>
    </row>
    <row r="519" spans="1:3" ht="12.75">
      <c r="A519" s="83">
        <v>580423069</v>
      </c>
      <c r="B519" s="84">
        <v>184694.36</v>
      </c>
      <c r="C519" t="str">
        <f>VLOOKUP(A519,גיליון2!$B$5:$C$1319,2,0)</f>
        <v>מועדון ספורט באר שבע</v>
      </c>
    </row>
    <row r="520" spans="1:3" ht="12.75">
      <c r="A520" s="83">
        <v>580424406</v>
      </c>
      <c r="B520" s="84">
        <v>52171.87</v>
      </c>
      <c r="C520" t="str">
        <f>VLOOKUP(A520,גיליון2!$B$5:$C$1319,2,0)</f>
        <v>מועדוני או-שו (קונג- פו) רחובות</v>
      </c>
    </row>
    <row r="521" spans="1:3" ht="12.75">
      <c r="A521" s="83">
        <v>580424638</v>
      </c>
      <c r="B521" s="84">
        <v>679635.92</v>
      </c>
      <c r="C521" t="str">
        <f>VLOOKUP(A521,גיליון2!$B$5:$C$1319,2,0)</f>
        <v>העמותה לקידום הספורט במטה אשר</v>
      </c>
    </row>
    <row r="522" spans="1:3" ht="12.75">
      <c r="A522" s="83">
        <v>580428878</v>
      </c>
      <c r="B522" s="84">
        <v>69129.45</v>
      </c>
      <c r="C522" t="str">
        <f>VLOOKUP(A522,גיליון2!$B$5:$C$1319,2,0)</f>
        <v>עמותת השחר לקידום הספורט וחינוך גופני בבאקה</v>
      </c>
    </row>
    <row r="523" spans="1:3" ht="12.75">
      <c r="A523" s="83">
        <v>580430072</v>
      </c>
      <c r="B523" s="84">
        <v>211178.13</v>
      </c>
      <c r="C523" t="str">
        <f>VLOOKUP(A523,גיליון2!$B$5:$C$1319,2,0)</f>
        <v>עמותת הספורט בזבולון</v>
      </c>
    </row>
    <row r="524" spans="1:3" ht="12.75">
      <c r="A524" s="83">
        <v>580430296</v>
      </c>
      <c r="B524" s="84">
        <v>313879.37</v>
      </c>
      <c r="C524" t="str">
        <f>VLOOKUP(A524,גיליון2!$B$5:$C$1319,2,0)</f>
        <v>מסד פתח תקווה</v>
      </c>
    </row>
    <row r="525" spans="1:3" ht="12.75">
      <c r="A525" s="83">
        <v>580430643</v>
      </c>
      <c r="B525" s="84">
        <v>189352.52</v>
      </c>
      <c r="C525" t="str">
        <f>VLOOKUP(A525,גיליון2!$B$5:$C$1319,2,0)</f>
        <v>העמותה לקידום הספורט ביואב</v>
      </c>
    </row>
    <row r="526" spans="1:3" ht="12.75">
      <c r="A526" s="83">
        <v>580430734</v>
      </c>
      <c r="B526" s="84">
        <v>4669.04</v>
      </c>
      <c r="C526" t="e">
        <f>VLOOKUP(A526,גיליון2!$B$5:$C$1319,2,0)</f>
        <v>#N/A</v>
      </c>
    </row>
    <row r="527" spans="1:3" ht="12.75">
      <c r="A527" s="83">
        <v>580431393</v>
      </c>
      <c r="B527" s="84">
        <v>313026.95</v>
      </c>
      <c r="C527" t="str">
        <f>VLOOKUP(A527,גיליון2!$B$5:$C$1319,2,0)</f>
        <v>העמותה הכללית לספורט באילת</v>
      </c>
    </row>
    <row r="528" spans="1:3" ht="12.75">
      <c r="A528" s="83">
        <v>580431559</v>
      </c>
      <c r="B528" s="84">
        <v>21427.18</v>
      </c>
      <c r="C528" t="str">
        <f>VLOOKUP(A528,גיליון2!$B$5:$C$1319,2,0)</f>
        <v>מועדון הספורט של החרשים חיפה</v>
      </c>
    </row>
    <row r="529" spans="1:3" ht="12.75">
      <c r="A529" s="83">
        <v>580431898</v>
      </c>
      <c r="B529" s="84">
        <v>159556.38</v>
      </c>
      <c r="C529" t="str">
        <f>VLOOKUP(A529,גיליון2!$B$5:$C$1319,2,0)</f>
        <v>אופק כרמיאל לכדורגל</v>
      </c>
    </row>
    <row r="530" spans="1:3" ht="12.75">
      <c r="A530" s="83">
        <v>580431955</v>
      </c>
      <c r="B530" s="84">
        <v>158508.96</v>
      </c>
      <c r="C530" t="str">
        <f>VLOOKUP(A530,גיליון2!$B$5:$C$1319,2,0)</f>
        <v>עירוני דימונה כדורגל</v>
      </c>
    </row>
    <row r="531" spans="1:3" ht="12.75">
      <c r="A531" s="83">
        <v>580432169</v>
      </c>
      <c r="B531" s="84">
        <v>97953.78</v>
      </c>
      <c r="C531" t="str">
        <f>VLOOKUP(A531,גיליון2!$B$5:$C$1319,2,0)</f>
        <v>המרכז לרכיבת אופניים ולחברה</v>
      </c>
    </row>
    <row r="532" spans="1:3" ht="12.75">
      <c r="A532" s="83">
        <v>580432755</v>
      </c>
      <c r="B532" s="84">
        <v>200929.3</v>
      </c>
      <c r="C532" t="str">
        <f>VLOOKUP(A532,גיליון2!$B$5:$C$1319,2,0)</f>
        <v>הפועל בני לוד רכבת</v>
      </c>
    </row>
    <row r="533" spans="1:3" ht="12.75">
      <c r="A533" s="83">
        <v>580433134</v>
      </c>
      <c r="B533" s="84">
        <v>79254.48</v>
      </c>
      <c r="C533" t="str">
        <f>VLOOKUP(A533,גיליון2!$B$5:$C$1319,2,0)</f>
        <v>עמותת אלנגום לקידום ספורט מג'דל כרום</v>
      </c>
    </row>
    <row r="534" spans="1:3" ht="12.75">
      <c r="A534" s="83">
        <v>580433316</v>
      </c>
      <c r="B534" s="84">
        <v>604396.81</v>
      </c>
      <c r="C534" t="str">
        <f>VLOOKUP(A534,גיליון2!$B$5:$C$1319,2,0)</f>
        <v>העמותה לעידוד ענפי הכדוריד והכדורסל בדימונה</v>
      </c>
    </row>
    <row r="535" spans="1:3" ht="12.75">
      <c r="A535" s="83">
        <v>580433449</v>
      </c>
      <c r="B535" s="84">
        <v>60226.43</v>
      </c>
      <c r="C535" t="str">
        <f>VLOOKUP(A535,גיליון2!$B$5:$C$1319,2,0)</f>
        <v>הפועל מבשרת ציון</v>
      </c>
    </row>
    <row r="536" spans="1:3" ht="12.75">
      <c r="A536" s="83">
        <v>580433589</v>
      </c>
      <c r="B536" s="84">
        <v>166256.64</v>
      </c>
      <c r="C536" t="str">
        <f>VLOOKUP(A536,גיליון2!$B$5:$C$1319,2,0)</f>
        <v>עמותת ספורט מכבי כפר המכביה</v>
      </c>
    </row>
    <row r="537" spans="1:3" ht="12.75">
      <c r="A537" s="83">
        <v>580434025</v>
      </c>
      <c r="B537" s="84">
        <v>3757</v>
      </c>
      <c r="C537" t="e">
        <f>VLOOKUP(A537,גיליון2!$B$5:$C$1319,2,0)</f>
        <v>#N/A</v>
      </c>
    </row>
    <row r="538" spans="1:3" ht="12.75">
      <c r="A538" s="83">
        <v>580434041</v>
      </c>
      <c r="B538" s="84">
        <v>63368.66</v>
      </c>
      <c r="C538" t="str">
        <f>VLOOKUP(A538,גיליון2!$B$5:$C$1319,2,0)</f>
        <v>מכבי עירוני "כרמי גת" קריית גת</v>
      </c>
    </row>
    <row r="539" spans="1:3" ht="12.75">
      <c r="A539" s="83">
        <v>580435014</v>
      </c>
      <c r="B539" s="84">
        <v>193428.62</v>
      </c>
      <c r="C539" t="str">
        <f>VLOOKUP(A539,גיליון2!$B$5:$C$1319,2,0)</f>
        <v>מכבי הבילויים גדרה</v>
      </c>
    </row>
    <row r="540" spans="1:3" ht="12.75">
      <c r="A540" s="83">
        <v>580435105</v>
      </c>
      <c r="B540" s="84">
        <v>215942.26</v>
      </c>
      <c r="C540" t="str">
        <f>VLOOKUP(A540,גיליון2!$B$5:$C$1319,2,0)</f>
        <v>איחוד בני כפר קאסם</v>
      </c>
    </row>
    <row r="541" spans="1:3" ht="12.75">
      <c r="A541" s="83">
        <v>580435980</v>
      </c>
      <c r="B541" s="84">
        <v>166190.01</v>
      </c>
      <c r="C541" t="str">
        <f>VLOOKUP(A541,גיליון2!$B$5:$C$1319,2,0)</f>
        <v>מכבי בני שעריים ע"ש יהודה מצהלה</v>
      </c>
    </row>
    <row r="542" spans="1:3" ht="12.75">
      <c r="A542" s="83">
        <v>580436061</v>
      </c>
      <c r="B542" s="84">
        <v>39098.15</v>
      </c>
      <c r="C542" t="str">
        <f>VLOOKUP(A542,גיליון2!$B$5:$C$1319,2,0)</f>
        <v>מכבי בת ים להאבקות</v>
      </c>
    </row>
    <row r="543" spans="1:3" ht="12.75">
      <c r="A543" s="83">
        <v>580438422</v>
      </c>
      <c r="B543" s="84">
        <v>163920.61</v>
      </c>
      <c r="C543" t="str">
        <f>VLOOKUP(A543,גיליון2!$B$5:$C$1319,2,0)</f>
        <v>מכבי יבנה</v>
      </c>
    </row>
    <row r="544" spans="1:3" ht="12.75">
      <c r="A544" s="83">
        <v>580438448</v>
      </c>
      <c r="B544" s="84">
        <v>130500.36</v>
      </c>
      <c r="C544" t="str">
        <f>VLOOKUP(A544,גיליון2!$B$5:$C$1319,2,0)</f>
        <v>העמותה לקידום הכדורסל הפועל ארזים אשדוד</v>
      </c>
    </row>
    <row r="545" spans="1:3" ht="12.75">
      <c r="A545" s="83">
        <v>580438745</v>
      </c>
      <c r="B545" s="84">
        <v>207039.22</v>
      </c>
      <c r="C545" t="str">
        <f>VLOOKUP(A545,גיליון2!$B$5:$C$1319,2,0)</f>
        <v>מכבי כשרונות חדרה</v>
      </c>
    </row>
    <row r="546" spans="1:3" ht="12.75">
      <c r="A546" s="83">
        <v>580438935</v>
      </c>
      <c r="B546" s="84">
        <v>451667.51</v>
      </c>
      <c r="C546" t="str">
        <f>VLOOKUP(A546,גיליון2!$B$5:$C$1319,2,0)</f>
        <v>מועדון כדורסל כדור הפלא- ראשון לציון</v>
      </c>
    </row>
    <row r="547" spans="1:3" ht="12.75">
      <c r="A547" s="83">
        <v>580439354</v>
      </c>
      <c r="B547" s="84">
        <v>70154.64</v>
      </c>
      <c r="C547" t="str">
        <f>VLOOKUP(A547,גיליון2!$B$5:$C$1319,2,0)</f>
        <v>העמותה לקידום הטניס בנצרת והסביבה</v>
      </c>
    </row>
    <row r="548" spans="1:3" ht="12.75">
      <c r="A548" s="83">
        <v>580439412</v>
      </c>
      <c r="B548" s="84">
        <v>180155.53</v>
      </c>
      <c r="C548" t="str">
        <f>VLOOKUP(A548,גיליון2!$B$5:$C$1319,2,0)</f>
        <v>עמותות מכבי באר שבע נשים</v>
      </c>
    </row>
    <row r="549" spans="1:3" ht="12.75">
      <c r="A549" s="83">
        <v>580439453</v>
      </c>
      <c r="B549" s="84">
        <v>157112.39</v>
      </c>
      <c r="C549" t="str">
        <f>VLOOKUP(A549,גיליון2!$B$5:$C$1319,2,0)</f>
        <v>מועדון לקידום כדורגל נשים בחולון</v>
      </c>
    </row>
    <row r="550" spans="1:3" ht="12.75">
      <c r="A550" s="83">
        <v>580439826</v>
      </c>
      <c r="B550" s="84">
        <v>10847.2</v>
      </c>
      <c r="C550" t="str">
        <f>VLOOKUP(A550,גיליון2!$B$5:$C$1319,2,0)</f>
        <v>קשתי מכבי ראשון</v>
      </c>
    </row>
    <row r="551" spans="1:3" ht="12.75">
      <c r="A551" s="83">
        <v>580439917</v>
      </c>
      <c r="B551" s="84">
        <v>81349.31</v>
      </c>
      <c r="C551" t="str">
        <f>VLOOKUP(A551,גיליון2!$B$5:$C$1319,2,0)</f>
        <v>ניצני הספורט הטמרה</v>
      </c>
    </row>
    <row r="552" spans="1:3" ht="12.75">
      <c r="A552" s="83">
        <v>580441186</v>
      </c>
      <c r="B552" s="84">
        <v>1149.28</v>
      </c>
      <c r="C552" t="e">
        <f>VLOOKUP(A552,גיליון2!$B$5:$C$1319,2,0)</f>
        <v>#N/A</v>
      </c>
    </row>
    <row r="553" spans="1:3" ht="12.75">
      <c r="A553" s="83">
        <v>580441772</v>
      </c>
      <c r="B553" s="84">
        <v>91823.47</v>
      </c>
      <c r="C553" t="e">
        <f>VLOOKUP(A553,גיליון2!$B$5:$C$1319,2,0)</f>
        <v>#N/A</v>
      </c>
    </row>
    <row r="554" spans="1:3" ht="12.75">
      <c r="A554" s="83">
        <v>580441921</v>
      </c>
      <c r="B554" s="84">
        <v>62805.84</v>
      </c>
      <c r="C554" t="str">
        <f>VLOOKUP(A554,גיליון2!$B$5:$C$1319,2,0)</f>
        <v>מכבי בת ים</v>
      </c>
    </row>
    <row r="555" spans="1:3" ht="12.75">
      <c r="A555" s="83">
        <v>580442077</v>
      </c>
      <c r="B555" s="84">
        <v>79677.55</v>
      </c>
      <c r="C555" t="str">
        <f>VLOOKUP(A555,גיליון2!$B$5:$C$1319,2,0)</f>
        <v>מועדון ספורט החרשים בתל אביב</v>
      </c>
    </row>
    <row r="556" spans="1:3" ht="12.75">
      <c r="A556" s="83">
        <v>580442085</v>
      </c>
      <c r="B556" s="84">
        <v>77026.63</v>
      </c>
      <c r="C556" t="str">
        <f>VLOOKUP(A556,גיליון2!$B$5:$C$1319,2,0)</f>
        <v>עמותת מועדון השייט הפועל זבולון עכו</v>
      </c>
    </row>
    <row r="557" spans="1:3" ht="12.75">
      <c r="A557" s="83">
        <v>580442309</v>
      </c>
      <c r="B557" s="84">
        <v>54366.4</v>
      </c>
      <c r="C557" t="str">
        <f>VLOOKUP(A557,גיליון2!$B$5:$C$1319,2,0)</f>
        <v>עמותה לקידום ילדים ביקנעם</v>
      </c>
    </row>
    <row r="558" spans="1:3" ht="12.75">
      <c r="A558" s="83">
        <v>580442549</v>
      </c>
      <c r="B558" s="84">
        <v>144543.41</v>
      </c>
      <c r="C558" t="str">
        <f>VLOOKUP(A558,גיליון2!$B$5:$C$1319,2,0)</f>
        <v>שועאע כפר קאסם</v>
      </c>
    </row>
    <row r="559" spans="1:3" ht="12.75">
      <c r="A559" s="83">
        <v>580442887</v>
      </c>
      <c r="B559" s="84">
        <v>169681.39</v>
      </c>
      <c r="C559" t="str">
        <f>VLOOKUP(A559,גיליון2!$B$5:$C$1319,2,0)</f>
        <v>מועדון ספורט טירה</v>
      </c>
    </row>
    <row r="560" spans="1:3" ht="12.75">
      <c r="A560" s="83">
        <v>580443372</v>
      </c>
      <c r="B560" s="84">
        <v>101402.76</v>
      </c>
      <c r="C560" t="str">
        <f>VLOOKUP(A560,גיליון2!$B$5:$C$1319,2,0)</f>
        <v>הפועל יזרעאל גלבוע</v>
      </c>
    </row>
    <row r="561" spans="1:3" ht="12.75">
      <c r="A561" s="83">
        <v>580444313</v>
      </c>
      <c r="B561" s="84">
        <v>14895.27</v>
      </c>
      <c r="C561" t="str">
        <f>VLOOKUP(A561,גיליון2!$B$5:$C$1319,2,0)</f>
        <v>מועדון הרמת המשקולות מכבי רומנו הרצליה</v>
      </c>
    </row>
    <row r="562" spans="1:3" ht="12.75">
      <c r="A562" s="83">
        <v>580444750</v>
      </c>
      <c r="B562" s="84">
        <v>360485.68</v>
      </c>
      <c r="C562" t="str">
        <f>VLOOKUP(A562,גיליון2!$B$5:$C$1319,2,0)</f>
        <v>פועלים באדום</v>
      </c>
    </row>
    <row r="563" spans="1:3" ht="12.75">
      <c r="A563" s="83">
        <v>580444958</v>
      </c>
      <c r="B563" s="84">
        <v>171665.6</v>
      </c>
      <c r="C563" t="str">
        <f>VLOOKUP(A563,גיליון2!$B$5:$C$1319,2,0)</f>
        <v>שרעבי אומנויות לחימה</v>
      </c>
    </row>
    <row r="564" spans="1:3" ht="12.75">
      <c r="A564" s="83">
        <v>580445070</v>
      </c>
      <c r="B564" s="84">
        <v>77238.88</v>
      </c>
      <c r="C564" t="str">
        <f>VLOOKUP(A564,גיליון2!$B$5:$C$1319,2,0)</f>
        <v>הפועל שחייה בת ים</v>
      </c>
    </row>
    <row r="565" spans="1:3" ht="12.75">
      <c r="A565" s="83">
        <v>580445229</v>
      </c>
      <c r="B565" s="84">
        <v>47307.52</v>
      </c>
      <c r="C565" t="str">
        <f>VLOOKUP(A565,גיליון2!$B$5:$C$1319,2,0)</f>
        <v>מועדון הטניס אביחיל עמק חפר</v>
      </c>
    </row>
    <row r="566" spans="1:3" ht="12.75">
      <c r="A566" s="83">
        <v>580445989</v>
      </c>
      <c r="B566" s="84">
        <v>236946.41</v>
      </c>
      <c r="C566" t="str">
        <f>VLOOKUP(A566,גיליון2!$B$5:$C$1319,2,0)</f>
        <v>העמותה להרחבת פעילות הספורט ביישובי המועצה האזורית חבל מודיעין</v>
      </c>
    </row>
    <row r="567" spans="1:3" ht="12.75">
      <c r="A567" s="83">
        <v>580446151</v>
      </c>
      <c r="B567" s="84">
        <v>11090.4</v>
      </c>
      <c r="C567" t="str">
        <f>VLOOKUP(A567,גיליון2!$B$5:$C$1319,2,0)</f>
        <v>מועדון טניס שולחן נתניה</v>
      </c>
    </row>
    <row r="568" spans="1:3" ht="12.75">
      <c r="A568" s="83">
        <v>580447134</v>
      </c>
      <c r="B568" s="84">
        <v>118881.72</v>
      </c>
      <c r="C568" t="str">
        <f>VLOOKUP(A568,גיליון2!$B$5:$C$1319,2,0)</f>
        <v>עמותת דור ספורטיבי דיר חנא</v>
      </c>
    </row>
    <row r="569" spans="1:3" ht="12.75">
      <c r="A569" s="83">
        <v>580447258</v>
      </c>
      <c r="B569" s="84">
        <v>35167.66</v>
      </c>
      <c r="C569" t="str">
        <f>VLOOKUP(A569,גיליון2!$B$5:$C$1319,2,0)</f>
        <v>כפפות הזהב עכו</v>
      </c>
    </row>
    <row r="570" spans="1:3" ht="12.75">
      <c r="A570" s="83">
        <v>580447423</v>
      </c>
      <c r="B570" s="84">
        <v>120278.28</v>
      </c>
      <c r="C570" t="str">
        <f>VLOOKUP(A570,גיליון2!$B$5:$C$1319,2,0)</f>
        <v>מועדון כדורגל עירוני אור יהודה</v>
      </c>
    </row>
    <row r="571" spans="1:3" ht="12.75">
      <c r="A571" s="83">
        <v>580447928</v>
      </c>
      <c r="B571" s="84">
        <v>196565.06</v>
      </c>
      <c r="C571" t="str">
        <f>VLOOKUP(A571,גיליון2!$B$5:$C$1319,2,0)</f>
        <v>מועדון לקידום כדורגל נשים ברמת השרון</v>
      </c>
    </row>
    <row r="572" spans="1:3" ht="12.75">
      <c r="A572" s="83">
        <v>580448397</v>
      </c>
      <c r="B572" s="84">
        <v>10847.2</v>
      </c>
      <c r="C572" t="str">
        <f>VLOOKUP(A572,גיליון2!$B$5:$C$1319,2,0)</f>
        <v>קשתות המאה ה21</v>
      </c>
    </row>
    <row r="573" spans="1:3" ht="12.75">
      <c r="A573" s="83">
        <v>580448561</v>
      </c>
      <c r="B573" s="84">
        <v>32819.03</v>
      </c>
      <c r="C573" t="str">
        <f>VLOOKUP(A573,גיליון2!$B$5:$C$1319,2,0)</f>
        <v>אתגר רעננה</v>
      </c>
    </row>
    <row r="574" spans="1:3" ht="12.75">
      <c r="A574" s="83">
        <v>580449114</v>
      </c>
      <c r="B574" s="84">
        <v>12442.05</v>
      </c>
      <c r="C574" t="e">
        <f>VLOOKUP(A574,גיליון2!$B$5:$C$1319,2,0)</f>
        <v>#N/A</v>
      </c>
    </row>
    <row r="575" spans="1:3" ht="12.75">
      <c r="A575" s="83">
        <v>580449437</v>
      </c>
      <c r="B575" s="84">
        <v>23964.16</v>
      </c>
      <c r="C575" t="str">
        <f>VLOOKUP(A575,גיליון2!$B$5:$C$1319,2,0)</f>
        <v>אסא טכניון חיפה</v>
      </c>
    </row>
    <row r="576" spans="1:3" ht="12.75">
      <c r="A576" s="83">
        <v>580449577</v>
      </c>
      <c r="B576" s="84">
        <v>112422.65</v>
      </c>
      <c r="C576" t="str">
        <f>VLOOKUP(A576,גיליון2!$B$5:$C$1319,2,0)</f>
        <v>הפועל בועיינה</v>
      </c>
    </row>
    <row r="577" spans="1:3" ht="12.75">
      <c r="A577" s="83">
        <v>580450666</v>
      </c>
      <c r="B577" s="84">
        <v>224608.82</v>
      </c>
      <c r="C577" t="str">
        <f>VLOOKUP(A577,גיליון2!$B$5:$C$1319,2,0)</f>
        <v>הפועל תמרה</v>
      </c>
    </row>
    <row r="578" spans="1:3" ht="12.75">
      <c r="A578" s="83">
        <v>580451318</v>
      </c>
      <c r="B578" s="84">
        <v>40498</v>
      </c>
      <c r="C578" t="str">
        <f>VLOOKUP(A578,גיליון2!$B$5:$C$1319,2,0)</f>
        <v>הפועל תקוה תל אביב</v>
      </c>
    </row>
    <row r="579" spans="1:3" ht="12.75">
      <c r="A579" s="83">
        <v>580452233</v>
      </c>
      <c r="B579" s="84">
        <v>136687.8</v>
      </c>
      <c r="C579" t="str">
        <f>VLOOKUP(A579,גיליון2!$B$5:$C$1319,2,0)</f>
        <v>מועדון ספורט שוהם</v>
      </c>
    </row>
    <row r="580" spans="1:3" ht="12.75">
      <c r="A580" s="83">
        <v>580453850</v>
      </c>
      <c r="B580" s="84">
        <v>39437.02</v>
      </c>
      <c r="C580" t="str">
        <f>VLOOKUP(A580,גיליון2!$B$5:$C$1319,2,0)</f>
        <v>אתלטי אורן השרון</v>
      </c>
    </row>
    <row r="581" spans="1:3" ht="12.75">
      <c r="A581" s="83">
        <v>580454817</v>
      </c>
      <c r="B581" s="84">
        <v>119579.99</v>
      </c>
      <c r="C581" t="str">
        <f>VLOOKUP(A581,גיליון2!$B$5:$C$1319,2,0)</f>
        <v>עמותת שחר לספורט וחינוך אעבלין</v>
      </c>
    </row>
    <row r="582" spans="1:3" ht="12.75">
      <c r="A582" s="83">
        <v>580454932</v>
      </c>
      <c r="B582" s="84">
        <v>18958.57</v>
      </c>
      <c r="C582" t="str">
        <f>VLOOKUP(A582,גיליון2!$B$5:$C$1319,2,0)</f>
        <v>עמותת צ'רניאק לשחמט תל אביב</v>
      </c>
    </row>
    <row r="583" spans="1:3" ht="12.75">
      <c r="A583" s="83">
        <v>580455517</v>
      </c>
      <c r="B583" s="84">
        <v>2635.25</v>
      </c>
      <c r="C583" t="str">
        <f>VLOOKUP(A583,גיליון2!$B$5:$C$1319,2,0)</f>
        <v>מועדון ברידג' נהריה</v>
      </c>
    </row>
    <row r="584" spans="1:3" ht="12.75">
      <c r="A584" s="83">
        <v>580455806</v>
      </c>
      <c r="B584" s="84">
        <v>60355.96</v>
      </c>
      <c r="C584" t="str">
        <f>VLOOKUP(A584,גיליון2!$B$5:$C$1319,2,0)</f>
        <v>העמותה לתרבות חינוך וספורט לילדי טירה והמשולש</v>
      </c>
    </row>
    <row r="585" spans="1:3" ht="12.75">
      <c r="A585" s="83">
        <v>580455947</v>
      </c>
      <c r="B585" s="84">
        <v>116578.08</v>
      </c>
      <c r="C585" t="str">
        <f>VLOOKUP(A585,גיליון2!$B$5:$C$1319,2,0)</f>
        <v>עמותת זמרין להתעמלות מכשירים  וספורט</v>
      </c>
    </row>
    <row r="586" spans="1:3" ht="12.75">
      <c r="A586" s="83">
        <v>580456325</v>
      </c>
      <c r="B586" s="84">
        <v>250157.85</v>
      </c>
      <c r="C586" t="str">
        <f>VLOOKUP(A586,גיליון2!$B$5:$C$1319,2,0)</f>
        <v>בני אילת - מועדון כדורגל</v>
      </c>
    </row>
    <row r="587" spans="1:3" ht="12.75">
      <c r="A587" s="83">
        <v>580458131</v>
      </c>
      <c r="B587" s="84">
        <v>219709.07</v>
      </c>
      <c r="C587" t="str">
        <f>VLOOKUP(A587,גיליון2!$B$5:$C$1319,2,0)</f>
        <v>הפועל יונט חולון החדשה</v>
      </c>
    </row>
    <row r="588" spans="1:3" ht="12.75">
      <c r="A588" s="83">
        <v>580458859</v>
      </c>
      <c r="B588" s="84">
        <v>365365.17</v>
      </c>
      <c r="C588" t="str">
        <f>VLOOKUP(A588,גיליון2!$B$5:$C$1319,2,0)</f>
        <v>עמותת ספורט נחף</v>
      </c>
    </row>
    <row r="589" spans="1:3" ht="12.75">
      <c r="A589" s="83">
        <v>580459048</v>
      </c>
      <c r="B589" s="84">
        <v>300040.54</v>
      </c>
      <c r="C589" t="e">
        <f>VLOOKUP(A589,גיליון2!$B$5:$C$1319,2,0)</f>
        <v>#N/A</v>
      </c>
    </row>
    <row r="590" spans="1:3" ht="12.75">
      <c r="A590" s="83">
        <v>580459287</v>
      </c>
      <c r="B590" s="84">
        <v>152204.9</v>
      </c>
      <c r="C590" t="str">
        <f>VLOOKUP(A590,גיליון2!$B$5:$C$1319,2,0)</f>
        <v>עמותה לקידום הספורט הצ'רקסי בישראל</v>
      </c>
    </row>
    <row r="591" spans="1:3" ht="12.75">
      <c r="A591" s="83">
        <v>580459584</v>
      </c>
      <c r="B591" s="84">
        <v>86429.79</v>
      </c>
      <c r="C591" t="str">
        <f>VLOOKUP(A591,גיליון2!$B$5:$C$1319,2,0)</f>
        <v>אשבאל לקידום ופיתוח ספורט תחרותי במג'אר</v>
      </c>
    </row>
    <row r="592" spans="1:3" ht="12.75">
      <c r="A592" s="83">
        <v>580459758</v>
      </c>
      <c r="B592" s="84">
        <v>117037.12</v>
      </c>
      <c r="C592" t="str">
        <f>VLOOKUP(A592,גיליון2!$B$5:$C$1319,2,0)</f>
        <v>הפועל עכו כדורסל</v>
      </c>
    </row>
    <row r="593" spans="1:3" ht="12.75">
      <c r="A593" s="83">
        <v>580459873</v>
      </c>
      <c r="B593" s="84">
        <v>240931.02</v>
      </c>
      <c r="C593" t="str">
        <f>VLOOKUP(A593,גיליון2!$B$5:$C$1319,2,0)</f>
        <v>הפועל "הדור הצעיר" סכנין</v>
      </c>
    </row>
    <row r="594" spans="1:3" ht="12.75">
      <c r="A594" s="83">
        <v>580460269</v>
      </c>
      <c r="B594" s="84">
        <v>279620.5</v>
      </c>
      <c r="C594" t="str">
        <f>VLOOKUP(A594,גיליון2!$B$5:$C$1319,2,0)</f>
        <v>עמותת הפיסגה</v>
      </c>
    </row>
    <row r="595" spans="1:3" ht="12.75">
      <c r="A595" s="83">
        <v>580460855</v>
      </c>
      <c r="B595" s="84">
        <v>36241.6</v>
      </c>
      <c r="C595" t="str">
        <f>VLOOKUP(A595,גיליון2!$B$5:$C$1319,2,0)</f>
        <v>מרכז ימי זבולון נתניה</v>
      </c>
    </row>
    <row r="596" spans="1:3" ht="12.75">
      <c r="A596" s="83">
        <v>580460871</v>
      </c>
      <c r="B596" s="83">
        <v>928.87</v>
      </c>
      <c r="C596" t="str">
        <f>VLOOKUP(A596,גיליון2!$B$5:$C$1319,2,0)</f>
        <v>פטנק מושב ניר צבי</v>
      </c>
    </row>
    <row r="597" spans="1:3" ht="12.75">
      <c r="A597" s="83">
        <v>580460988</v>
      </c>
      <c r="B597" s="84">
        <v>8598.12</v>
      </c>
      <c r="C597" t="str">
        <f>VLOOKUP(A597,גיליון2!$B$5:$C$1319,2,0)</f>
        <v>חינוך ספורט וטאקוונדו</v>
      </c>
    </row>
    <row r="598" spans="1:3" ht="12.75">
      <c r="A598" s="83">
        <v>580461895</v>
      </c>
      <c r="B598" s="83">
        <v>982.78</v>
      </c>
      <c r="C598" t="e">
        <f>VLOOKUP(A598,גיליון2!$B$5:$C$1319,2,0)</f>
        <v>#N/A</v>
      </c>
    </row>
    <row r="599" spans="1:3" ht="12.75">
      <c r="A599" s="83">
        <v>580462166</v>
      </c>
      <c r="B599" s="84">
        <v>439418.14</v>
      </c>
      <c r="C599" t="str">
        <f>VLOOKUP(A599,גיליון2!$B$5:$C$1319,2,0)</f>
        <v>עירוני נס ציונה</v>
      </c>
    </row>
    <row r="600" spans="1:3" ht="12.75">
      <c r="A600" s="83">
        <v>580462240</v>
      </c>
      <c r="B600" s="84">
        <v>15507.04</v>
      </c>
      <c r="C600" t="str">
        <f>VLOOKUP(A600,גיליון2!$B$5:$C$1319,2,0)</f>
        <v>מכבי מועדון התעמלות קרית אונו</v>
      </c>
    </row>
    <row r="601" spans="1:3" ht="12.75">
      <c r="A601" s="83">
        <v>580462653</v>
      </c>
      <c r="B601" s="84">
        <v>96435.91</v>
      </c>
      <c r="C601" t="str">
        <f>VLOOKUP(A601,גיליון2!$B$5:$C$1319,2,0)</f>
        <v>משחקים למען השלום</v>
      </c>
    </row>
    <row r="602" spans="1:3" ht="12.75">
      <c r="A602" s="83">
        <v>580462984</v>
      </c>
      <c r="B602" s="84">
        <v>114866.63</v>
      </c>
      <c r="C602" t="str">
        <f>VLOOKUP(A602,גיליון2!$B$5:$C$1319,2,0)</f>
        <v>מרכז ברקאי לחינוך כדורגל ודו קיום</v>
      </c>
    </row>
    <row r="603" spans="1:3" ht="12.75">
      <c r="A603" s="83">
        <v>580463040</v>
      </c>
      <c r="B603" s="84">
        <v>11237.12</v>
      </c>
      <c r="C603" t="e">
        <f>VLOOKUP(A603,גיליון2!$B$5:$C$1319,2,0)</f>
        <v>#N/A</v>
      </c>
    </row>
    <row r="604" spans="1:3" ht="12.75">
      <c r="A604" s="83">
        <v>580463123</v>
      </c>
      <c r="B604" s="84">
        <v>293276.48</v>
      </c>
      <c r="C604" t="e">
        <f>VLOOKUP(A604,גיליון2!$B$5:$C$1319,2,0)</f>
        <v>#N/A</v>
      </c>
    </row>
    <row r="605" spans="1:3" ht="12.75">
      <c r="A605" s="83">
        <v>580463867</v>
      </c>
      <c r="B605" s="84">
        <v>121638.97</v>
      </c>
      <c r="C605" t="str">
        <f>VLOOKUP(A605,גיליון2!$B$5:$C$1319,2,0)</f>
        <v>עמותת הפועל בני טובא זנגריה ענפים</v>
      </c>
    </row>
    <row r="606" spans="1:3" ht="12.75">
      <c r="A606" s="83">
        <v>580464154</v>
      </c>
      <c r="B606" s="84">
        <v>12002.41</v>
      </c>
      <c r="C606" t="e">
        <f>VLOOKUP(A606,גיליון2!$B$5:$C$1319,2,0)</f>
        <v>#N/A</v>
      </c>
    </row>
    <row r="607" spans="1:3" ht="12.75">
      <c r="A607" s="83">
        <v>580464923</v>
      </c>
      <c r="B607" s="84">
        <v>87982.94</v>
      </c>
      <c r="C607" t="str">
        <f>VLOOKUP(A607,גיליון2!$B$5:$C$1319,2,0)</f>
        <v>עמותת מוסמוספרוט מעלה עירון</v>
      </c>
    </row>
    <row r="608" spans="1:3" ht="12.75">
      <c r="A608" s="83">
        <v>580464964</v>
      </c>
      <c r="B608" s="84">
        <v>393304.72</v>
      </c>
      <c r="C608" t="str">
        <f>VLOOKUP(A608,גיליון2!$B$5:$C$1319,2,0)</f>
        <v>מכבי חדרה</v>
      </c>
    </row>
    <row r="609" spans="1:3" ht="12.75">
      <c r="A609" s="83">
        <v>580465599</v>
      </c>
      <c r="B609" s="84">
        <v>55678.93</v>
      </c>
      <c r="C609" t="str">
        <f>VLOOKUP(A609,גיליון2!$B$5:$C$1319,2,0)</f>
        <v>מועדון כדורסל מכבי קריית מוצקין</v>
      </c>
    </row>
    <row r="610" spans="1:3" ht="12.75">
      <c r="A610" s="83">
        <v>580465870</v>
      </c>
      <c r="B610" s="84">
        <v>1628.15</v>
      </c>
      <c r="C610" t="str">
        <f>VLOOKUP(A610,גיליון2!$B$5:$C$1319,2,0)</f>
        <v>עמותת באולינג אשדוד 2006</v>
      </c>
    </row>
    <row r="611" spans="1:3" ht="12.75">
      <c r="A611" s="83">
        <v>580466092</v>
      </c>
      <c r="B611" s="84">
        <v>184061.51</v>
      </c>
      <c r="C611" t="str">
        <f>VLOOKUP(A611,גיליון2!$B$5:$C$1319,2,0)</f>
        <v>מכסי נווה גנים מוצקין</v>
      </c>
    </row>
    <row r="612" spans="1:3" ht="12.75">
      <c r="A612" s="83">
        <v>580466613</v>
      </c>
      <c r="B612" s="84">
        <v>126212.63</v>
      </c>
      <c r="C612" t="str">
        <f>VLOOKUP(A612,גיליון2!$B$5:$C$1319,2,0)</f>
        <v>מכבי מועדון התעמלות אריאל</v>
      </c>
    </row>
    <row r="613" spans="1:3" ht="12.75">
      <c r="A613" s="83">
        <v>580466837</v>
      </c>
      <c r="B613" s="84">
        <v>25278.24</v>
      </c>
      <c r="C613" t="str">
        <f>VLOOKUP(A613,גיליון2!$B$5:$C$1319,2,0)</f>
        <v>העמותה לקידום ועידו ספורט כדורסל בהפועל תל אביב יפו- קרית עקרון</v>
      </c>
    </row>
    <row r="614" spans="1:3" ht="12.75">
      <c r="A614" s="83">
        <v>580466902</v>
      </c>
      <c r="B614" s="84">
        <v>189976.52</v>
      </c>
      <c r="C614" t="str">
        <f>VLOOKUP(A614,גיליון2!$B$5:$C$1319,2,0)</f>
        <v>עמותת הספורט העירונית ראש העין</v>
      </c>
    </row>
    <row r="615" spans="1:3" ht="12.75">
      <c r="A615" s="83">
        <v>580466993</v>
      </c>
      <c r="B615" s="84">
        <v>472209.5</v>
      </c>
      <c r="C615" t="str">
        <f>VLOOKUP(A615,גיליון2!$B$5:$C$1319,2,0)</f>
        <v>ס.א.ן ספורט אירועים נופש רמלה</v>
      </c>
    </row>
    <row r="616" spans="1:3" ht="12.75">
      <c r="A616" s="83">
        <v>580467488</v>
      </c>
      <c r="B616" s="84">
        <v>4746.68</v>
      </c>
      <c r="C616" t="str">
        <f>VLOOKUP(A616,גיליון2!$B$5:$C$1319,2,0)</f>
        <v>קשתות פלשת 2006</v>
      </c>
    </row>
    <row r="617" spans="1:3" ht="12.75">
      <c r="A617" s="83">
        <v>580467819</v>
      </c>
      <c r="B617" s="84">
        <v>400450.89</v>
      </c>
      <c r="C617" t="str">
        <f>VLOOKUP(A617,גיליון2!$B$5:$C$1319,2,0)</f>
        <v>מועדון ההתעמלות האומנותית מכבי השרון</v>
      </c>
    </row>
    <row r="618" spans="1:3" ht="12.75">
      <c r="A618" s="83">
        <v>580467868</v>
      </c>
      <c r="B618" s="84">
        <v>281976.32</v>
      </c>
      <c r="C618" t="str">
        <f>VLOOKUP(A618,גיליון2!$B$5:$C$1319,2,0)</f>
        <v>מועדון כדור יד באר שבע</v>
      </c>
    </row>
    <row r="619" spans="1:3" ht="12.75">
      <c r="A619" s="83">
        <v>580467926</v>
      </c>
      <c r="B619" s="84">
        <v>312304.53</v>
      </c>
      <c r="C619" t="str">
        <f>VLOOKUP(A619,גיליון2!$B$5:$C$1319,2,0)</f>
        <v>עמותת ספורט רב ענפי בנס ציונה</v>
      </c>
    </row>
    <row r="620" spans="1:3" ht="12.75">
      <c r="A620" s="83">
        <v>580468056</v>
      </c>
      <c r="B620" s="84">
        <v>18930.84</v>
      </c>
      <c r="C620" t="str">
        <f>VLOOKUP(A620,גיליון2!$B$5:$C$1319,2,0)</f>
        <v>עמותה לקידום הכדורסל במתנ"ס ראש פינה</v>
      </c>
    </row>
    <row r="621" spans="1:3" ht="12.75">
      <c r="A621" s="83">
        <v>580468171</v>
      </c>
      <c r="B621" s="84">
        <v>83383.09</v>
      </c>
      <c r="C621" t="str">
        <f>VLOOKUP(A621,גיליון2!$B$5:$C$1319,2,0)</f>
        <v>עמותת איתן- ספורט מים אתגרי בירושלים</v>
      </c>
    </row>
    <row r="622" spans="1:3" ht="12.75">
      <c r="A622" s="83">
        <v>580470235</v>
      </c>
      <c r="B622" s="84">
        <v>38736.2</v>
      </c>
      <c r="C622" t="e">
        <f>VLOOKUP(A622,גיליון2!$B$5:$C$1319,2,0)</f>
        <v>#N/A</v>
      </c>
    </row>
    <row r="623" spans="1:3" ht="12.75">
      <c r="A623" s="83">
        <v>580470292</v>
      </c>
      <c r="B623" s="84">
        <v>176807.13</v>
      </c>
      <c r="C623" t="str">
        <f>VLOOKUP(A623,גיליון2!$B$5:$C$1319,2,0)</f>
        <v>עמותת הספורט ההשגי בבית שמש וסביבותיה</v>
      </c>
    </row>
    <row r="624" spans="1:3" ht="12.75">
      <c r="A624" s="83">
        <v>580470557</v>
      </c>
      <c r="B624" s="84">
        <v>154634.56</v>
      </c>
      <c r="C624" t="str">
        <f>VLOOKUP(A624,גיליון2!$B$5:$C$1319,2,0)</f>
        <v>עמותת הספורט ליאובק</v>
      </c>
    </row>
    <row r="625" spans="1:3" ht="12.75">
      <c r="A625" s="83">
        <v>580470771</v>
      </c>
      <c r="B625" s="84">
        <v>138083.76</v>
      </c>
      <c r="C625" t="str">
        <f>VLOOKUP(A625,גיליון2!$B$5:$C$1319,2,0)</f>
        <v>אסיסט לנוער בסיכון - גליל</v>
      </c>
    </row>
    <row r="626" spans="1:3" ht="12.75">
      <c r="A626" s="83">
        <v>580471704</v>
      </c>
      <c r="B626" s="84">
        <v>44091.57</v>
      </c>
      <c r="C626" t="str">
        <f>VLOOKUP(A626,גיליון2!$B$5:$C$1319,2,0)</f>
        <v>אליצור הוד השרון</v>
      </c>
    </row>
    <row r="627" spans="1:3" ht="12.75">
      <c r="A627" s="83">
        <v>580472546</v>
      </c>
      <c r="B627" s="84">
        <v>43642.33</v>
      </c>
      <c r="C627" t="str">
        <f>VLOOKUP(A627,גיליון2!$B$5:$C$1319,2,0)</f>
        <v>העמותה לקידום הספורט באזור</v>
      </c>
    </row>
    <row r="628" spans="1:3" ht="12.75">
      <c r="A628" s="83">
        <v>580472736</v>
      </c>
      <c r="B628" s="84">
        <v>271862.07</v>
      </c>
      <c r="C628" t="str">
        <f>VLOOKUP(A628,גיליון2!$B$5:$C$1319,2,0)</f>
        <v>הפועל "דולפין" נתניה - שחייה</v>
      </c>
    </row>
    <row r="629" spans="1:3" ht="12.75">
      <c r="A629" s="83">
        <v>580472751</v>
      </c>
      <c r="B629" s="84">
        <v>165179.83</v>
      </c>
      <c r="C629" t="str">
        <f>VLOOKUP(A629,גיליון2!$B$5:$C$1319,2,0)</f>
        <v>יוניפייט</v>
      </c>
    </row>
    <row r="630" spans="1:3" ht="12.75">
      <c r="A630" s="83">
        <v>580473684</v>
      </c>
      <c r="B630" s="84">
        <v>12356.98</v>
      </c>
      <c r="C630" t="e">
        <f>VLOOKUP(A630,גיליון2!$B$5:$C$1319,2,0)</f>
        <v>#N/A</v>
      </c>
    </row>
    <row r="631" spans="1:3" ht="12.75">
      <c r="A631" s="83">
        <v>580474062</v>
      </c>
      <c r="B631" s="84">
        <v>5367.49</v>
      </c>
      <c r="C631" t="str">
        <f>VLOOKUP(A631,גיליון2!$B$5:$C$1319,2,0)</f>
        <v>מועדון ארוחת הבוקר</v>
      </c>
    </row>
    <row r="632" spans="1:3" ht="12.75">
      <c r="A632" s="83">
        <v>580475093</v>
      </c>
      <c r="B632" s="84">
        <v>37713.88</v>
      </c>
      <c r="C632" t="str">
        <f>VLOOKUP(A632,גיליון2!$B$5:$C$1319,2,0)</f>
        <v>נושיט יד לילדי אילת</v>
      </c>
    </row>
    <row r="633" spans="1:3" ht="12.75">
      <c r="A633" s="83">
        <v>580475465</v>
      </c>
      <c r="B633" s="84">
        <v>227281.42</v>
      </c>
      <c r="C633" t="str">
        <f>VLOOKUP(A633,גיליון2!$B$5:$C$1319,2,0)</f>
        <v>עמותה לקידום ספורט נשים הפועל טייבה</v>
      </c>
    </row>
    <row r="634" spans="1:3" ht="12.75">
      <c r="A634" s="83">
        <v>580475879</v>
      </c>
      <c r="B634" s="84">
        <v>16031.59</v>
      </c>
      <c r="C634" t="e">
        <f>VLOOKUP(A634,גיליון2!$B$5:$C$1319,2,0)</f>
        <v>#N/A</v>
      </c>
    </row>
    <row r="635" spans="1:3" ht="12.75">
      <c r="A635" s="83">
        <v>580476059</v>
      </c>
      <c r="B635" s="84">
        <v>196615.06</v>
      </c>
      <c r="C635" t="str">
        <f>VLOOKUP(A635,גיליון2!$B$5:$C$1319,2,0)</f>
        <v>הפועל חוף השרון</v>
      </c>
    </row>
    <row r="636" spans="1:3" ht="12.75">
      <c r="A636" s="83">
        <v>580476075</v>
      </c>
      <c r="B636" s="84">
        <v>134767.53</v>
      </c>
      <c r="C636" t="str">
        <f>VLOOKUP(A636,גיליון2!$B$5:$C$1319,2,0)</f>
        <v>עמותה לקידום הספורט והתרבות בכפר כאבול</v>
      </c>
    </row>
    <row r="637" spans="1:3" ht="12.75">
      <c r="A637" s="83">
        <v>580476703</v>
      </c>
      <c r="B637" s="84">
        <v>27407.39</v>
      </c>
      <c r="C637" t="str">
        <f>VLOOKUP(A637,גיליון2!$B$5:$C$1319,2,0)</f>
        <v>מועדון ספורט "אלפא ביתא" ראשל"צ</v>
      </c>
    </row>
    <row r="638" spans="1:3" ht="12.75">
      <c r="A638" s="83">
        <v>580477065</v>
      </c>
      <c r="B638" s="84">
        <v>92870.88</v>
      </c>
      <c r="C638" t="str">
        <f>VLOOKUP(A638,גיליון2!$B$5:$C$1319,2,0)</f>
        <v>ביתר פתח תקווה</v>
      </c>
    </row>
    <row r="639" spans="1:3" ht="12.75">
      <c r="A639" s="83">
        <v>580477958</v>
      </c>
      <c r="B639" s="84">
        <v>131450.72</v>
      </c>
      <c r="C639" t="str">
        <f>VLOOKUP(A639,גיליון2!$B$5:$C$1319,2,0)</f>
        <v>בני יהוד חינוך וספורט</v>
      </c>
    </row>
    <row r="640" spans="1:3" ht="12.75">
      <c r="A640" s="83">
        <v>580479624</v>
      </c>
      <c r="B640" s="84">
        <v>8252.34</v>
      </c>
      <c r="C640" t="e">
        <f>VLOOKUP(A640,גיליון2!$B$5:$C$1319,2,0)</f>
        <v>#N/A</v>
      </c>
    </row>
    <row r="641" spans="1:3" ht="12.75">
      <c r="A641" s="83">
        <v>580479749</v>
      </c>
      <c r="B641" s="84">
        <v>78207.06</v>
      </c>
      <c r="C641" t="str">
        <f>VLOOKUP(A641,גיליון2!$B$5:$C$1319,2,0)</f>
        <v>מועדון ספורט כדורגל ביתר נהריה</v>
      </c>
    </row>
    <row r="642" spans="1:3" ht="12.75">
      <c r="A642" s="83">
        <v>580480200</v>
      </c>
      <c r="B642" s="84">
        <v>8692.62</v>
      </c>
      <c r="C642" t="str">
        <f>VLOOKUP(A642,גיליון2!$B$5:$C$1319,2,0)</f>
        <v>קשתי בית לחם הגלילית</v>
      </c>
    </row>
    <row r="643" spans="1:3" ht="12.75">
      <c r="A643" s="83">
        <v>580480226</v>
      </c>
      <c r="B643" s="84">
        <v>31953.02</v>
      </c>
      <c r="C643" t="str">
        <f>VLOOKUP(A643,גיליון2!$B$5:$C$1319,2,0)</f>
        <v>עמותת טניס שולחן נתניה 2007</v>
      </c>
    </row>
    <row r="644" spans="1:3" ht="12.75">
      <c r="A644" s="83">
        <v>580480978</v>
      </c>
      <c r="B644" s="84">
        <v>172998.21</v>
      </c>
      <c r="C644" t="str">
        <f>VLOOKUP(A644,גיליון2!$B$5:$C$1319,2,0)</f>
        <v>אלשאגור לקידום ספורט חינוך ותרבות</v>
      </c>
    </row>
    <row r="645" spans="1:3" ht="12.75">
      <c r="A645" s="83">
        <v>580481190</v>
      </c>
      <c r="B645" s="84">
        <v>7235.02</v>
      </c>
      <c r="C645" t="e">
        <f>VLOOKUP(A645,גיליון2!$B$5:$C$1319,2,0)</f>
        <v>#N/A</v>
      </c>
    </row>
    <row r="646" spans="1:3" ht="12.75">
      <c r="A646" s="83">
        <v>580481232</v>
      </c>
      <c r="B646" s="84">
        <v>368817.25</v>
      </c>
      <c r="C646" t="str">
        <f>VLOOKUP(A646,גיליון2!$B$5:$C$1319,2,0)</f>
        <v>אליצור יבנה</v>
      </c>
    </row>
    <row r="647" spans="1:3" ht="12.75">
      <c r="A647" s="83">
        <v>580481455</v>
      </c>
      <c r="B647" s="84">
        <v>125689.92</v>
      </c>
      <c r="C647" t="str">
        <f>VLOOKUP(A647,גיליון2!$B$5:$C$1319,2,0)</f>
        <v>מנארה לספורט וחינוך טייבה</v>
      </c>
    </row>
    <row r="648" spans="1:3" ht="12.75">
      <c r="A648" s="83">
        <v>580481935</v>
      </c>
      <c r="B648" s="84">
        <v>105455.91</v>
      </c>
      <c r="C648" t="str">
        <f>VLOOKUP(A648,גיליון2!$B$5:$C$1319,2,0)</f>
        <v>הפועל בנימינה גבעת עדה</v>
      </c>
    </row>
    <row r="649" spans="1:3" ht="12.75">
      <c r="A649" s="83">
        <v>580482040</v>
      </c>
      <c r="B649" s="84">
        <v>303116.1</v>
      </c>
      <c r="C649" t="str">
        <f>VLOOKUP(A649,גיליון2!$B$5:$C$1319,2,0)</f>
        <v>הפועל אושיסקין תל אביב</v>
      </c>
    </row>
    <row r="650" spans="1:3" ht="12.75">
      <c r="A650" s="83">
        <v>580482115</v>
      </c>
      <c r="B650" s="84">
        <v>20316.11</v>
      </c>
      <c r="C650" t="str">
        <f>VLOOKUP(A650,גיליון2!$B$5:$C$1319,2,0)</f>
        <v>ספורטאי מודיעין עיר העתיד</v>
      </c>
    </row>
    <row r="651" spans="1:3" ht="12.75">
      <c r="A651" s="83">
        <v>580482305</v>
      </c>
      <c r="B651" s="84">
        <v>36241.6</v>
      </c>
      <c r="C651" t="str">
        <f>VLOOKUP(A651,גיליון2!$B$5:$C$1319,2,0)</f>
        <v>מעופפי הים</v>
      </c>
    </row>
    <row r="652" spans="1:3" ht="12.75">
      <c r="A652" s="83">
        <v>580483014</v>
      </c>
      <c r="B652" s="84">
        <v>3216.49</v>
      </c>
      <c r="C652" t="e">
        <f>VLOOKUP(A652,גיליון2!$B$5:$C$1319,2,0)</f>
        <v>#N/A</v>
      </c>
    </row>
    <row r="653" spans="1:3" ht="12.75">
      <c r="A653" s="83">
        <v>580483832</v>
      </c>
      <c r="B653" s="84">
        <v>17510.8</v>
      </c>
      <c r="C653" t="str">
        <f>VLOOKUP(A653,גיליון2!$B$5:$C$1319,2,0)</f>
        <v>קייאקים זבולון ת"א</v>
      </c>
    </row>
    <row r="654" spans="1:3" ht="12.75">
      <c r="A654" s="83">
        <v>580484236</v>
      </c>
      <c r="B654" s="84">
        <v>11173.86</v>
      </c>
      <c r="C654" t="str">
        <f>VLOOKUP(A654,גיליון2!$B$5:$C$1319,2,0)</f>
        <v>רמת אליהו מחלקת נוער</v>
      </c>
    </row>
    <row r="655" spans="1:3" ht="12.75">
      <c r="A655" s="83">
        <v>580484582</v>
      </c>
      <c r="B655" s="84">
        <v>30096.77</v>
      </c>
      <c r="C655" t="str">
        <f>VLOOKUP(A655,גיליון2!$B$5:$C$1319,2,0)</f>
        <v>כפפות הזהב -כוכבי נצרת</v>
      </c>
    </row>
    <row r="656" spans="1:3" ht="12.75">
      <c r="A656" s="83">
        <v>580486223</v>
      </c>
      <c r="B656" s="84">
        <v>255112.92</v>
      </c>
      <c r="C656" t="str">
        <f>VLOOKUP(A656,גיליון2!$B$5:$C$1319,2,0)</f>
        <v>העמותה לקידום ספורט בית ספרי בתל אביב</v>
      </c>
    </row>
    <row r="657" spans="1:3" ht="12.75">
      <c r="A657" s="83">
        <v>580487254</v>
      </c>
      <c r="B657" s="84">
        <v>167259.52</v>
      </c>
      <c r="C657" t="str">
        <f>VLOOKUP(A657,גיליון2!$B$5:$C$1319,2,0)</f>
        <v>אליצור תל אביב</v>
      </c>
    </row>
    <row r="658" spans="1:3" ht="12.75">
      <c r="A658" s="83">
        <v>580487320</v>
      </c>
      <c r="B658" s="84">
        <v>170692.95</v>
      </c>
      <c r="C658" t="e">
        <f>VLOOKUP(A658,גיליון2!$B$5:$C$1319,2,0)</f>
        <v>#N/A</v>
      </c>
    </row>
    <row r="659" spans="1:3" ht="12.75">
      <c r="A659" s="83">
        <v>580487973</v>
      </c>
      <c r="B659" s="84">
        <v>125689.92</v>
      </c>
      <c r="C659" t="str">
        <f>VLOOKUP(A659,גיליון2!$B$5:$C$1319,2,0)</f>
        <v>מכבי צעירי כפר קרע</v>
      </c>
    </row>
    <row r="660" spans="1:3" ht="12.75">
      <c r="A660" s="83">
        <v>580488294</v>
      </c>
      <c r="B660" s="84">
        <v>128499.75</v>
      </c>
      <c r="C660" t="str">
        <f>VLOOKUP(A660,גיליון2!$B$5:$C$1319,2,0)</f>
        <v>מכבי פארק המים רעות שחייה</v>
      </c>
    </row>
    <row r="661" spans="1:3" ht="12.75">
      <c r="A661" s="83">
        <v>580488435</v>
      </c>
      <c r="B661" s="84">
        <v>16480.93</v>
      </c>
      <c r="C661" t="str">
        <f>VLOOKUP(A661,גיליון2!$B$5:$C$1319,2,0)</f>
        <v>במידה טובה טניס</v>
      </c>
    </row>
    <row r="662" spans="1:3" ht="12.75">
      <c r="A662" s="83">
        <v>580488948</v>
      </c>
      <c r="B662" s="84">
        <v>240644.36</v>
      </c>
      <c r="C662" t="str">
        <f>VLOOKUP(A662,גיליון2!$B$5:$C$1319,2,0)</f>
        <v>אליצור אשקלון בנות</v>
      </c>
    </row>
    <row r="663" spans="1:3" ht="12.75">
      <c r="A663" s="83">
        <v>580489391</v>
      </c>
      <c r="B663" s="84">
        <v>147511.09</v>
      </c>
      <c r="C663" t="str">
        <f>VLOOKUP(A663,גיליון2!$B$5:$C$1319,2,0)</f>
        <v>מכבי קביליו יפו</v>
      </c>
    </row>
    <row r="664" spans="1:3" ht="12.75">
      <c r="A664" s="83">
        <v>580489466</v>
      </c>
      <c r="B664" s="84">
        <v>83736.04</v>
      </c>
      <c r="C664" t="str">
        <f>VLOOKUP(A664,גיליון2!$B$5:$C$1319,2,0)</f>
        <v>עמותה לקידום ספורט ופנאי בבת ים</v>
      </c>
    </row>
    <row r="665" spans="1:3" ht="12.75">
      <c r="A665" s="83">
        <v>580489953</v>
      </c>
      <c r="B665" s="84">
        <v>1387.6</v>
      </c>
      <c r="C665" t="str">
        <f>VLOOKUP(A665,גיליון2!$B$5:$C$1319,2,0)</f>
        <v>מועדון כדורת הדשא קרית אונו</v>
      </c>
    </row>
    <row r="666" spans="1:3" ht="12.75">
      <c r="A666" s="83">
        <v>580490175</v>
      </c>
      <c r="B666" s="84">
        <v>113120.94</v>
      </c>
      <c r="C666" t="e">
        <f>VLOOKUP(A666,גיליון2!$B$5:$C$1319,2,0)</f>
        <v>#N/A</v>
      </c>
    </row>
    <row r="667" spans="1:3" ht="12.75">
      <c r="A667" s="83">
        <v>580490860</v>
      </c>
      <c r="B667" s="84">
        <v>154230.65</v>
      </c>
      <c r="C667" t="str">
        <f>VLOOKUP(A667,גיליון2!$B$5:$C$1319,2,0)</f>
        <v>קידום הכדורסל בגוש עציון</v>
      </c>
    </row>
    <row r="668" spans="1:3" ht="12.75">
      <c r="A668" s="83">
        <v>580491256</v>
      </c>
      <c r="B668" s="84">
        <v>183720.08</v>
      </c>
      <c r="C668" t="str">
        <f>VLOOKUP(A668,גיליון2!$B$5:$C$1319,2,0)</f>
        <v>העמותה לקידום השחיה הוד השרון</v>
      </c>
    </row>
    <row r="669" spans="1:3" ht="12.75">
      <c r="A669" s="83">
        <v>580491496</v>
      </c>
      <c r="B669" s="84">
        <v>64142.13</v>
      </c>
      <c r="C669" t="str">
        <f>VLOOKUP(A669,גיליון2!$B$5:$C$1319,2,0)</f>
        <v>ניצני גן יבנה כדורסל</v>
      </c>
    </row>
    <row r="670" spans="1:3" ht="12.75">
      <c r="A670" s="83">
        <v>580492965</v>
      </c>
      <c r="B670" s="84">
        <v>136812.38</v>
      </c>
      <c r="C670" t="str">
        <f>VLOOKUP(A670,גיליון2!$B$5:$C$1319,2,0)</f>
        <v>א.ס. סביון</v>
      </c>
    </row>
    <row r="671" spans="1:3" ht="12.75">
      <c r="A671" s="83">
        <v>580493054</v>
      </c>
      <c r="B671" s="84">
        <v>280952.12</v>
      </c>
      <c r="C671" t="str">
        <f>VLOOKUP(A671,גיליון2!$B$5:$C$1319,2,0)</f>
        <v>מועדון הכדורמים הפועל קרית טבעון</v>
      </c>
    </row>
    <row r="672" spans="1:3" ht="12.75">
      <c r="A672" s="83">
        <v>580493062</v>
      </c>
      <c r="B672" s="84">
        <v>154898.8</v>
      </c>
      <c r="C672" t="str">
        <f>VLOOKUP(A672,גיליון2!$B$5:$C$1319,2,0)</f>
        <v>מועדון כדורסל הפועל "מרנין" קרית טבעון</v>
      </c>
    </row>
    <row r="673" spans="1:3" ht="12.75">
      <c r="A673" s="83">
        <v>580493203</v>
      </c>
      <c r="B673" s="84">
        <v>28454.8</v>
      </c>
      <c r="C673" t="e">
        <f>VLOOKUP(A673,גיליון2!$B$5:$C$1319,2,0)</f>
        <v>#N/A</v>
      </c>
    </row>
    <row r="674" spans="1:3" ht="12.75">
      <c r="A674" s="83">
        <v>580495042</v>
      </c>
      <c r="B674" s="84">
        <v>100551.93</v>
      </c>
      <c r="C674" t="str">
        <f>VLOOKUP(A674,גיליון2!$B$5:$C$1319,2,0)</f>
        <v>איחוד בני מג'ד אל כרום- מג'ד אל כרום</v>
      </c>
    </row>
    <row r="675" spans="1:3" ht="12.75">
      <c r="A675" s="83">
        <v>580495257</v>
      </c>
      <c r="B675" s="84">
        <v>120616</v>
      </c>
      <c r="C675" t="str">
        <f>VLOOKUP(A675,גיליון2!$B$5:$C$1319,2,0)</f>
        <v>המרכז לטניס שולחן ירושלים</v>
      </c>
    </row>
    <row r="676" spans="1:3" ht="12.75">
      <c r="A676" s="83">
        <v>580496107</v>
      </c>
      <c r="B676" s="84">
        <v>75402.31</v>
      </c>
      <c r="C676" t="str">
        <f>VLOOKUP(A676,גיליון2!$B$5:$C$1319,2,0)</f>
        <v>העמותה לקידום ענף הקראטה התחרותי בבאר שבע ובנגב</v>
      </c>
    </row>
    <row r="677" spans="1:3" ht="12.75">
      <c r="A677" s="83">
        <v>580496792</v>
      </c>
      <c r="B677" s="84">
        <v>9606.81</v>
      </c>
      <c r="C677" t="str">
        <f>VLOOKUP(A677,גיליון2!$B$5:$C$1319,2,0)</f>
        <v>כפפות הזהב טבריה</v>
      </c>
    </row>
    <row r="678" spans="1:3" ht="12.75">
      <c r="A678" s="83">
        <v>580497048</v>
      </c>
      <c r="B678" s="84">
        <v>460048.46</v>
      </c>
      <c r="C678" t="str">
        <f>VLOOKUP(A678,גיליון2!$B$5:$C$1319,2,0)</f>
        <v>קידום הספורט במודיעין</v>
      </c>
    </row>
    <row r="679" spans="1:3" ht="12.75">
      <c r="A679" s="83">
        <v>580497170</v>
      </c>
      <c r="B679" s="84">
        <v>17365.66</v>
      </c>
      <c r="C679" t="str">
        <f>VLOOKUP(A679,גיליון2!$B$5:$C$1319,2,0)</f>
        <v>העמותה לפיתוח ענף ספורטיבי לריקודים סלוניים ולטינו אמריקאיים</v>
      </c>
    </row>
    <row r="680" spans="1:3" ht="12.75">
      <c r="A680" s="83">
        <v>580497758</v>
      </c>
      <c r="B680" s="84">
        <v>254544.23</v>
      </c>
      <c r="C680" t="str">
        <f>VLOOKUP(A680,גיליון2!$B$5:$C$1319,2,0)</f>
        <v>מועדון הפוטבול האמריקאי בירושלים</v>
      </c>
    </row>
    <row r="681" spans="1:3" ht="12.75">
      <c r="A681" s="83">
        <v>580498012</v>
      </c>
      <c r="B681" s="84">
        <v>244635.17</v>
      </c>
      <c r="C681" t="str">
        <f>VLOOKUP(A681,גיליון2!$B$5:$C$1319,2,0)</f>
        <v>אל נאדי אל אורתודוקסי עמותת ספורט בנצרת</v>
      </c>
    </row>
    <row r="682" spans="1:3" ht="12.75">
      <c r="A682" s="83">
        <v>580498038</v>
      </c>
      <c r="B682" s="84">
        <v>120278.28</v>
      </c>
      <c r="C682" t="str">
        <f>VLOOKUP(A682,גיליון2!$B$5:$C$1319,2,0)</f>
        <v>קרית ים </v>
      </c>
    </row>
    <row r="683" spans="1:3" ht="12.75">
      <c r="A683" s="83">
        <v>580498244</v>
      </c>
      <c r="B683" s="84">
        <v>299037.25</v>
      </c>
      <c r="C683" t="str">
        <f>VLOOKUP(A683,גיליון2!$B$5:$C$1319,2,0)</f>
        <v>העמותה לקידום ספורט נשים בקרית גת</v>
      </c>
    </row>
    <row r="684" spans="1:3" ht="12.75">
      <c r="A684" s="83">
        <v>580498251</v>
      </c>
      <c r="B684" s="84">
        <v>100667.52</v>
      </c>
      <c r="C684" t="str">
        <f>VLOOKUP(A684,גיליון2!$B$5:$C$1319,2,0)</f>
        <v>הפועל בנות זיכרון יעקב</v>
      </c>
    </row>
    <row r="685" spans="1:3" ht="12.75">
      <c r="A685" s="83">
        <v>580498509</v>
      </c>
      <c r="B685" s="84">
        <v>221703.06</v>
      </c>
      <c r="C685" t="str">
        <f>VLOOKUP(A685,גיליון2!$B$5:$C$1319,2,0)</f>
        <v>עמותת ספורט וכדורגל בקרית גת</v>
      </c>
    </row>
    <row r="686" spans="1:3" ht="12.75">
      <c r="A686" s="83">
        <v>580499150</v>
      </c>
      <c r="B686" s="84">
        <v>83980.09</v>
      </c>
      <c r="C686" t="str">
        <f>VLOOKUP(A686,גיליון2!$B$5:$C$1319,2,0)</f>
        <v>מועדון השחיה הפועל קרית טבעון</v>
      </c>
    </row>
    <row r="687" spans="1:3" ht="12.75">
      <c r="A687" s="83">
        <v>580499192</v>
      </c>
      <c r="B687" s="84">
        <v>71224.29</v>
      </c>
      <c r="C687" t="e">
        <f>VLOOKUP(A687,גיליון2!$B$5:$C$1319,2,0)</f>
        <v>#N/A</v>
      </c>
    </row>
    <row r="688" spans="1:3" ht="12.75">
      <c r="A688" s="83">
        <v>580499853</v>
      </c>
      <c r="B688" s="84">
        <v>69932.74</v>
      </c>
      <c r="C688" t="e">
        <f>VLOOKUP(A688,גיליון2!$B$5:$C$1319,2,0)</f>
        <v>#N/A</v>
      </c>
    </row>
    <row r="689" spans="1:3" ht="12.75">
      <c r="A689" s="83">
        <v>580500825</v>
      </c>
      <c r="B689" s="84">
        <v>343204.94</v>
      </c>
      <c r="C689" t="str">
        <f>VLOOKUP(A689,גיליון2!$B$5:$C$1319,2,0)</f>
        <v>הפועל באר שבע עתיד הנגב כדורסל</v>
      </c>
    </row>
    <row r="690" spans="1:3" ht="12.75">
      <c r="A690" s="83">
        <v>580502698</v>
      </c>
      <c r="B690" s="84">
        <v>17321.01</v>
      </c>
      <c r="C690" t="str">
        <f>VLOOKUP(A690,גיליון2!$B$5:$C$1319,2,0)</f>
        <v>עמותה לקידום ענפי ספורט אולימפיים לוד והסביבה</v>
      </c>
    </row>
    <row r="691" spans="1:3" ht="12.75">
      <c r="A691" s="83">
        <v>580502763</v>
      </c>
      <c r="B691" s="84">
        <v>41926.38</v>
      </c>
      <c r="C691" t="str">
        <f>VLOOKUP(A691,גיליון2!$B$5:$C$1319,2,0)</f>
        <v>חץ ומטרה אופניים</v>
      </c>
    </row>
    <row r="692" spans="1:3" ht="12.75">
      <c r="A692" s="83">
        <v>580503308</v>
      </c>
      <c r="B692" s="84">
        <v>15625</v>
      </c>
      <c r="C692" t="e">
        <f>VLOOKUP(A692,גיליון2!$B$5:$C$1319,2,0)</f>
        <v>#N/A</v>
      </c>
    </row>
    <row r="693" spans="1:3" ht="12.75">
      <c r="A693" s="83">
        <v>580503662</v>
      </c>
      <c r="B693" s="84">
        <v>4007.45</v>
      </c>
      <c r="C693" t="str">
        <f>VLOOKUP(A693,גיליון2!$B$5:$C$1319,2,0)</f>
        <v>עמותת לטס דנס</v>
      </c>
    </row>
    <row r="694" spans="1:3" ht="12.75">
      <c r="A694" s="83">
        <v>580503928</v>
      </c>
      <c r="B694" s="84">
        <v>19600.9</v>
      </c>
      <c r="C694" t="str">
        <f>VLOOKUP(A694,גיליון2!$B$5:$C$1319,2,0)</f>
        <v>עמותת טניס קלאב עמק חפר</v>
      </c>
    </row>
    <row r="695" spans="1:3" ht="12.75">
      <c r="A695" s="83">
        <v>580504496</v>
      </c>
      <c r="B695" s="84">
        <v>24213.49</v>
      </c>
      <c r="C695" t="str">
        <f>VLOOKUP(A695,גיליון2!$B$5:$C$1319,2,0)</f>
        <v>אקדמיה לטניס הפועל תל אביב</v>
      </c>
    </row>
    <row r="696" spans="1:3" ht="12.75">
      <c r="A696" s="83">
        <v>580504660</v>
      </c>
      <c r="B696" s="84">
        <v>246011.4</v>
      </c>
      <c r="C696" t="str">
        <f>VLOOKUP(A696,גיליון2!$B$5:$C$1319,2,0)</f>
        <v>אלמג'ד- מועדון ספורט ובריאות באעבלין</v>
      </c>
    </row>
    <row r="697" spans="1:3" ht="12.75">
      <c r="A697" s="83">
        <v>580505329</v>
      </c>
      <c r="B697" s="84">
        <v>71224.29</v>
      </c>
      <c r="C697" t="e">
        <f>VLOOKUP(A697,גיליון2!$B$5:$C$1319,2,0)</f>
        <v>#N/A</v>
      </c>
    </row>
    <row r="698" spans="1:3" ht="12.75">
      <c r="A698" s="83">
        <v>580506566</v>
      </c>
      <c r="B698" s="84">
        <v>25397.02</v>
      </c>
      <c r="C698" t="str">
        <f>VLOOKUP(A698,גיליון2!$B$5:$C$1319,2,0)</f>
        <v>רובאי ישראל</v>
      </c>
    </row>
    <row r="699" spans="1:3" ht="12.75">
      <c r="A699" s="83">
        <v>580506574</v>
      </c>
      <c r="B699" s="84">
        <v>47482.86</v>
      </c>
      <c r="C699" t="e">
        <f>VLOOKUP(A699,גיליון2!$B$5:$C$1319,2,0)</f>
        <v>#N/A</v>
      </c>
    </row>
    <row r="700" spans="1:3" ht="12.75">
      <c r="A700" s="83">
        <v>580507341</v>
      </c>
      <c r="B700" s="84">
        <v>242314.72</v>
      </c>
      <c r="C700" t="str">
        <f>VLOOKUP(A700,גיליון2!$B$5:$C$1319,2,0)</f>
        <v>עמותת אלנסיג לספורט מגד אל כרום</v>
      </c>
    </row>
    <row r="701" spans="1:3" ht="12.75">
      <c r="A701" s="83">
        <v>580507531</v>
      </c>
      <c r="B701" s="84">
        <v>233206.17</v>
      </c>
      <c r="C701" t="str">
        <f>VLOOKUP(A701,גיליון2!$B$5:$C$1319,2,0)</f>
        <v>העמותה לטיפוח מצויינות כדורסל אשקלון</v>
      </c>
    </row>
    <row r="702" spans="1:3" ht="12.75">
      <c r="A702" s="83">
        <v>580507705</v>
      </c>
      <c r="B702" s="84">
        <v>16201.06</v>
      </c>
      <c r="C702" t="str">
        <f>VLOOKUP(A702,גיליון2!$B$5:$C$1319,2,0)</f>
        <v>טניס לב השרון</v>
      </c>
    </row>
    <row r="703" spans="1:3" ht="12.75">
      <c r="A703" s="83">
        <v>580507929</v>
      </c>
      <c r="B703" s="84">
        <v>25375.03</v>
      </c>
      <c r="C703" t="str">
        <f>VLOOKUP(A703,גיליון2!$B$5:$C$1319,2,0)</f>
        <v>מועדון בדמינטון חצור</v>
      </c>
    </row>
    <row r="704" spans="1:3" ht="12.75">
      <c r="A704" s="83">
        <v>580508919</v>
      </c>
      <c r="B704" s="84">
        <v>158508.96</v>
      </c>
      <c r="C704" t="str">
        <f>VLOOKUP(A704,גיליון2!$B$5:$C$1319,2,0)</f>
        <v>צעירים למען הכדורגל בנשר</v>
      </c>
    </row>
    <row r="705" spans="1:3" ht="12.75">
      <c r="A705" s="83">
        <v>580509065</v>
      </c>
      <c r="B705" s="84">
        <v>10027.01</v>
      </c>
      <c r="C705" t="str">
        <f>VLOOKUP(A705,גיליון2!$B$5:$C$1319,2,0)</f>
        <v>האקדמיה לבדמינטון אזור יהוד</v>
      </c>
    </row>
    <row r="706" spans="1:3" ht="12.75">
      <c r="A706" s="83">
        <v>580509487</v>
      </c>
      <c r="B706" s="84">
        <v>341981.32</v>
      </c>
      <c r="C706" t="str">
        <f>VLOOKUP(A706,גיליון2!$B$5:$C$1319,2,0)</f>
        <v>קטמון מועדון אוהדים</v>
      </c>
    </row>
    <row r="707" spans="1:3" ht="12.75">
      <c r="A707" s="83">
        <v>580509834</v>
      </c>
      <c r="B707" s="84">
        <v>115032.68</v>
      </c>
      <c r="C707" t="str">
        <f>VLOOKUP(A707,גיליון2!$B$5:$C$1319,2,0)</f>
        <v>הפועל שפרעם</v>
      </c>
    </row>
    <row r="708" spans="1:3" ht="12.75">
      <c r="A708" s="83">
        <v>580512325</v>
      </c>
      <c r="B708" s="84">
        <v>45493.23</v>
      </c>
      <c r="C708" t="str">
        <f>VLOOKUP(A708,גיליון2!$B$5:$C$1319,2,0)</f>
        <v>מכבי בת ים</v>
      </c>
    </row>
    <row r="709" spans="1:3" ht="12.75">
      <c r="A709" s="83">
        <v>580512333</v>
      </c>
      <c r="B709" s="84">
        <v>2800.99</v>
      </c>
      <c r="C709" t="e">
        <f>VLOOKUP(A709,גיליון2!$B$5:$C$1319,2,0)</f>
        <v>#N/A</v>
      </c>
    </row>
    <row r="710" spans="1:3" ht="12.75">
      <c r="A710" s="83">
        <v>580513133</v>
      </c>
      <c r="B710" s="84">
        <v>25278.24</v>
      </c>
      <c r="C710" t="str">
        <f>VLOOKUP(A710,גיליון2!$B$5:$C$1319,2,0)</f>
        <v>העמותה לקידום הספורט אופקים- כדורסל</v>
      </c>
    </row>
    <row r="711" spans="1:3" ht="12.75">
      <c r="A711" s="83">
        <v>580513802</v>
      </c>
      <c r="B711" s="84">
        <v>94962.28</v>
      </c>
      <c r="C711" t="str">
        <f>VLOOKUP(A711,גיליון2!$B$5:$C$1319,2,0)</f>
        <v>הפועל גנ"צ ורבורג מ.א דרום השרון</v>
      </c>
    </row>
    <row r="712" spans="1:3" ht="12.75">
      <c r="A712" s="83">
        <v>580513885</v>
      </c>
      <c r="B712" s="84">
        <v>62803.08</v>
      </c>
      <c r="C712" t="str">
        <f>VLOOKUP(A712,גיליון2!$B$5:$C$1319,2,0)</f>
        <v>טורעאן</v>
      </c>
    </row>
    <row r="713" spans="1:3" ht="12.75">
      <c r="A713" s="83">
        <v>580513927</v>
      </c>
      <c r="B713" s="84">
        <v>80738.32</v>
      </c>
      <c r="C713" t="str">
        <f>VLOOKUP(A713,גיליון2!$B$5:$C$1319,2,0)</f>
        <v>העמותה לכדורעף חופים בישראל</v>
      </c>
    </row>
    <row r="714" spans="1:3" ht="12.75">
      <c r="A714" s="83">
        <v>580514610</v>
      </c>
      <c r="B714" s="84">
        <v>47549.81</v>
      </c>
      <c r="C714" t="str">
        <f>VLOOKUP(A714,גיליון2!$B$5:$C$1319,2,0)</f>
        <v>אזור עתיד טוב לספורט</v>
      </c>
    </row>
    <row r="715" spans="1:3" ht="12.75">
      <c r="A715" s="83">
        <v>580515021</v>
      </c>
      <c r="B715" s="84">
        <v>8526.47</v>
      </c>
      <c r="C715" t="str">
        <f>VLOOKUP(A715,גיליון2!$B$5:$C$1319,2,0)</f>
        <v>לוחמי הטאקוונדו</v>
      </c>
    </row>
    <row r="716" spans="1:3" ht="12.75">
      <c r="A716" s="83">
        <v>580515831</v>
      </c>
      <c r="B716" s="84">
        <v>10914.7</v>
      </c>
      <c r="C716" t="str">
        <f>VLOOKUP(A716,גיליון2!$B$5:$C$1319,2,0)</f>
        <v>מרכז למקצועות קרב אולימפיים ולאומנויות לחימה- כרמיאל</v>
      </c>
    </row>
    <row r="717" spans="1:3" ht="12.75">
      <c r="A717" s="83">
        <v>580516722</v>
      </c>
      <c r="B717" s="84">
        <v>27585.31</v>
      </c>
      <c r="C717" t="str">
        <f>VLOOKUP(A717,גיליון2!$B$5:$C$1319,2,0)</f>
        <v>אולימפ- מועדון שחיה</v>
      </c>
    </row>
    <row r="718" spans="1:3" ht="12.75">
      <c r="A718" s="83">
        <v>580518942</v>
      </c>
      <c r="B718" s="84">
        <v>58334.17</v>
      </c>
      <c r="C718" t="str">
        <f>VLOOKUP(A718,גיליון2!$B$5:$C$1319,2,0)</f>
        <v>קוגוריו פייטרס</v>
      </c>
    </row>
    <row r="719" spans="1:3" ht="12.75">
      <c r="A719" s="83">
        <v>580519932</v>
      </c>
      <c r="B719" s="84">
        <v>166368.65</v>
      </c>
      <c r="C719" t="str">
        <f>VLOOKUP(A719,גיליון2!$B$5:$C$1319,2,0)</f>
        <v>תקוות הספורט כפר קאסם</v>
      </c>
    </row>
    <row r="720" spans="1:3" ht="12.75">
      <c r="A720" s="83">
        <v>580520559</v>
      </c>
      <c r="B720" s="84">
        <v>67850.85</v>
      </c>
      <c r="C720" t="str">
        <f>VLOOKUP(A720,גיליון2!$B$5:$C$1319,2,0)</f>
        <v>הפועל פתח תקווה גברים כדוריד</v>
      </c>
    </row>
    <row r="721" spans="1:3" ht="12.75">
      <c r="A721" s="83">
        <v>580521847</v>
      </c>
      <c r="B721" s="84">
        <v>3029.26</v>
      </c>
      <c r="C721" t="str">
        <f>VLOOKUP(A721,גיליון2!$B$5:$C$1319,2,0)</f>
        <v>קידום ספורט טניס שולחן הפועל אילת</v>
      </c>
    </row>
    <row r="722" spans="1:3" ht="12.75">
      <c r="A722" s="83">
        <v>580522647</v>
      </c>
      <c r="B722" s="84">
        <v>69653.16</v>
      </c>
      <c r="C722" t="str">
        <f>VLOOKUP(A722,גיליון2!$B$5:$C$1319,2,0)</f>
        <v>עתיד ספורט פרדיס</v>
      </c>
    </row>
    <row r="723" spans="1:3" ht="12.75">
      <c r="A723" s="83">
        <v>580523637</v>
      </c>
      <c r="B723" s="84">
        <v>136862.35</v>
      </c>
      <c r="C723" t="str">
        <f>VLOOKUP(A723,גיליון2!$B$5:$C$1319,2,0)</f>
        <v>אהלי באקה לקידום הספורט</v>
      </c>
    </row>
    <row r="724" spans="1:3" ht="12.75">
      <c r="A724" s="83">
        <v>580525004</v>
      </c>
      <c r="B724" s="84">
        <v>227550.84</v>
      </c>
      <c r="C724" t="str">
        <f>VLOOKUP(A724,גיליון2!$B$5:$C$1319,2,0)</f>
        <v>עמותת אקדמיה לקידום ספורט טמרה</v>
      </c>
    </row>
    <row r="725" spans="1:3" ht="12.75">
      <c r="A725" s="83">
        <v>580527372</v>
      </c>
      <c r="B725" s="84">
        <v>17525.71</v>
      </c>
      <c r="C725" t="str">
        <f>VLOOKUP(A725,גיליון2!$B$5:$C$1319,2,0)</f>
        <v>נערי מכבי</v>
      </c>
    </row>
    <row r="726" spans="1:3" ht="12.75">
      <c r="A726" s="83">
        <v>580527430</v>
      </c>
      <c r="B726" s="84">
        <v>83793.3</v>
      </c>
      <c r="C726" t="str">
        <f>VLOOKUP(A726,גיליון2!$B$5:$C$1319,2,0)</f>
        <v>העמותה לקידום הרווחה והספורט עין מאהל</v>
      </c>
    </row>
    <row r="727" spans="1:3" ht="12.75">
      <c r="A727" s="83">
        <v>580527802</v>
      </c>
      <c r="B727" s="84">
        <v>135005.54</v>
      </c>
      <c r="C727" t="str">
        <f>VLOOKUP(A727,גיליון2!$B$5:$C$1319,2,0)</f>
        <v>עמותת בני קלנסואה לספורט טוב יותר</v>
      </c>
    </row>
    <row r="728" spans="1:3" ht="12.75">
      <c r="A728" s="83">
        <v>580528214</v>
      </c>
      <c r="B728" s="84">
        <v>13922.2</v>
      </c>
      <c r="C728" t="str">
        <f>VLOOKUP(A728,גיליון2!$B$5:$C$1319,2,0)</f>
        <v>העמותה לקידום הקליעה הרצליה</v>
      </c>
    </row>
    <row r="729" spans="1:3" ht="12.75">
      <c r="A729" s="83">
        <v>580529063</v>
      </c>
      <c r="B729" s="84">
        <v>164141.5</v>
      </c>
      <c r="C729" t="str">
        <f>VLOOKUP(A729,גיליון2!$B$5:$C$1319,2,0)</f>
        <v>העמותה לקידום הספורט במועצה האזורית גזר</v>
      </c>
    </row>
    <row r="730" spans="1:3" ht="12.75">
      <c r="A730" s="83">
        <v>580529105</v>
      </c>
      <c r="B730" s="84">
        <v>54675.09</v>
      </c>
      <c r="C730" t="str">
        <f>VLOOKUP(A730,גיליון2!$B$5:$C$1319,2,0)</f>
        <v>אתגר בנגב</v>
      </c>
    </row>
    <row r="731" spans="1:3" ht="12.75">
      <c r="A731" s="83">
        <v>580529873</v>
      </c>
      <c r="B731" s="84">
        <v>94267.43</v>
      </c>
      <c r="C731" t="e">
        <f>VLOOKUP(A731,גיליון2!$B$5:$C$1319,2,0)</f>
        <v>#N/A</v>
      </c>
    </row>
    <row r="732" spans="1:3" ht="12.75">
      <c r="A732" s="83">
        <v>580530228</v>
      </c>
      <c r="B732" s="84">
        <v>82673.63</v>
      </c>
      <c r="C732" t="str">
        <f>VLOOKUP(A732,גיליון2!$B$5:$C$1319,2,0)</f>
        <v>מכבי ג'ים ק. ביאליק</v>
      </c>
    </row>
    <row r="733" spans="1:3" ht="12.75">
      <c r="A733" s="83">
        <v>580530376</v>
      </c>
      <c r="B733" s="84">
        <v>29812.42</v>
      </c>
      <c r="C733" t="str">
        <f>VLOOKUP(A733,גיליון2!$B$5:$C$1319,2,0)</f>
        <v>לפיד ראשון</v>
      </c>
    </row>
    <row r="734" spans="1:3" ht="12.75">
      <c r="A734" s="83">
        <v>580530814</v>
      </c>
      <c r="B734" s="84">
        <v>259909.26</v>
      </c>
      <c r="C734" t="str">
        <f>VLOOKUP(A734,גיליון2!$B$5:$C$1319,2,0)</f>
        <v>עמותה לטיפוח הכדורסל 2010 נהריה</v>
      </c>
    </row>
    <row r="735" spans="1:3" ht="12.75">
      <c r="A735" s="83">
        <v>580530897</v>
      </c>
      <c r="B735" s="84">
        <v>10726.77</v>
      </c>
      <c r="C735" t="str">
        <f>VLOOKUP(A735,גיליון2!$B$5:$C$1319,2,0)</f>
        <v>א.ל- אומנות לחימה או- שו רחובות</v>
      </c>
    </row>
    <row r="736" spans="1:3" ht="12.75">
      <c r="A736" s="83">
        <v>580531317</v>
      </c>
      <c r="B736" s="84">
        <v>48894.4</v>
      </c>
      <c r="C736" t="str">
        <f>VLOOKUP(A736,גיליון2!$B$5:$C$1319,2,0)</f>
        <v>אנדרדוגס פוטבול</v>
      </c>
    </row>
    <row r="737" spans="1:3" ht="12.75">
      <c r="A737" s="83">
        <v>580531556</v>
      </c>
      <c r="B737" s="84">
        <v>13021.98</v>
      </c>
      <c r="C737" t="e">
        <f>VLOOKUP(A737,גיליון2!$B$5:$C$1319,2,0)</f>
        <v>#N/A</v>
      </c>
    </row>
    <row r="738" spans="1:3" ht="12.75">
      <c r="A738" s="83">
        <v>580531614</v>
      </c>
      <c r="B738" s="84">
        <v>18628.6</v>
      </c>
      <c r="C738" t="str">
        <f>VLOOKUP(A738,גיליון2!$B$5:$C$1319,2,0)</f>
        <v>קאסה דאנס ריקודים סלונים בצפון</v>
      </c>
    </row>
    <row r="739" spans="1:3" ht="12.75">
      <c r="A739" s="83">
        <v>580533438</v>
      </c>
      <c r="B739" s="84">
        <v>87110.1</v>
      </c>
      <c r="C739" t="e">
        <f>VLOOKUP(A739,גיליון2!$B$5:$C$1319,2,0)</f>
        <v>#N/A</v>
      </c>
    </row>
    <row r="740" spans="1:3" ht="12.75">
      <c r="A740" s="83">
        <v>580533677</v>
      </c>
      <c r="B740" s="84">
        <v>172159.27</v>
      </c>
      <c r="C740" t="str">
        <f>VLOOKUP(A740,גיליון2!$B$5:$C$1319,2,0)</f>
        <v>עמותת גבעת השופטים עופסיה</v>
      </c>
    </row>
    <row r="741" spans="1:3" ht="12.75">
      <c r="A741" s="83">
        <v>580534147</v>
      </c>
      <c r="B741" s="84">
        <v>71748</v>
      </c>
      <c r="C741" t="str">
        <f>VLOOKUP(A741,גיליון2!$B$5:$C$1319,2,0)</f>
        <v>מועדון ספורט חצור הגלילית</v>
      </c>
    </row>
    <row r="742" spans="1:3" ht="12.75">
      <c r="A742" s="83">
        <v>580534246</v>
      </c>
      <c r="B742" s="84">
        <v>106836.43</v>
      </c>
      <c r="C742" t="e">
        <f>VLOOKUP(A742,גיליון2!$B$5:$C$1319,2,0)</f>
        <v>#N/A</v>
      </c>
    </row>
    <row r="743" spans="1:3" ht="12.75">
      <c r="A743" s="83">
        <v>580535516</v>
      </c>
      <c r="B743" s="84">
        <v>93054.2</v>
      </c>
      <c r="C743" t="str">
        <f>VLOOKUP(A743,גיליון2!$B$5:$C$1319,2,0)</f>
        <v>מיזונו נתניה</v>
      </c>
    </row>
    <row r="744" spans="1:3" ht="12.75">
      <c r="A744" s="83">
        <v>580536316</v>
      </c>
      <c r="B744" s="84">
        <v>190419.15</v>
      </c>
      <c r="C744" t="str">
        <f>VLOOKUP(A744,גיליון2!$B$5:$C$1319,2,0)</f>
        <v>העמותה לפיתוח הספורט והאתלטיקה בירושלים</v>
      </c>
    </row>
    <row r="745" spans="1:3" ht="12.75">
      <c r="A745" s="83">
        <v>580536332</v>
      </c>
      <c r="B745" s="84">
        <v>119754.57</v>
      </c>
      <c r="C745" t="str">
        <f>VLOOKUP(A745,גיליון2!$B$5:$C$1319,2,0)</f>
        <v>בני דודים אנחנו</v>
      </c>
    </row>
    <row r="746" spans="1:3" ht="12.75">
      <c r="A746" s="83">
        <v>580536472</v>
      </c>
      <c r="B746" s="84">
        <v>28284.9</v>
      </c>
      <c r="C746" t="str">
        <f>VLOOKUP(A746,גיליון2!$B$5:$C$1319,2,0)</f>
        <v>העמותה לקידום הספורט והתרבות פרדיס</v>
      </c>
    </row>
    <row r="747" spans="1:3" ht="12.75">
      <c r="A747" s="83">
        <v>580538288</v>
      </c>
      <c r="B747" s="84">
        <v>35189.01</v>
      </c>
      <c r="C747" t="str">
        <f>VLOOKUP(A747,גיליון2!$B$5:$C$1319,2,0)</f>
        <v>אלוף הג'ודו בבאר שבע</v>
      </c>
    </row>
    <row r="748" spans="1:3" ht="12.75">
      <c r="A748" s="83">
        <v>580538403</v>
      </c>
      <c r="B748" s="84">
        <v>39627.24</v>
      </c>
      <c r="C748" t="str">
        <f>VLOOKUP(A748,גיליון2!$B$5:$C$1319,2,0)</f>
        <v>אלנאדי אלריאדי אחווה ביר אל מכסור</v>
      </c>
    </row>
    <row r="749" spans="1:3" ht="12.75">
      <c r="A749" s="83">
        <v>580538668</v>
      </c>
      <c r="B749" s="84">
        <v>81698.45</v>
      </c>
      <c r="C749" t="str">
        <f>VLOOKUP(A749,גיליון2!$B$5:$C$1319,2,0)</f>
        <v>צעירי ברטעה</v>
      </c>
    </row>
    <row r="750" spans="1:3" ht="12.75">
      <c r="A750" s="83">
        <v>580539062</v>
      </c>
      <c r="B750" s="84">
        <v>255232.23</v>
      </c>
      <c r="C750" t="str">
        <f>VLOOKUP(A750,גיליון2!$B$5:$C$1319,2,0)</f>
        <v>הפועל חיפה כדור סל- לב אדום</v>
      </c>
    </row>
    <row r="751" spans="1:3" ht="12.75">
      <c r="A751" s="83">
        <v>580540136</v>
      </c>
      <c r="B751" s="84">
        <v>47317.39</v>
      </c>
      <c r="C751" t="str">
        <f>VLOOKUP(A751,גיליון2!$B$5:$C$1319,2,0)</f>
        <v>פייטינג ספיריט</v>
      </c>
    </row>
    <row r="752" spans="1:3" ht="12.75">
      <c r="A752" s="83">
        <v>580540391</v>
      </c>
      <c r="B752" s="84">
        <v>28313.32</v>
      </c>
      <c r="C752" t="str">
        <f>VLOOKUP(A752,גיליון2!$B$5:$C$1319,2,0)</f>
        <v>הישגי באר שבע האבקות חופשית</v>
      </c>
    </row>
    <row r="753" spans="1:3" ht="12.75">
      <c r="A753" s="83">
        <v>580541191</v>
      </c>
      <c r="B753" s="84">
        <v>75166.56</v>
      </c>
      <c r="C753" t="str">
        <f>VLOOKUP(A753,גיליון2!$B$5:$C$1319,2,0)</f>
        <v>העמותה לקידום כדורסל נשים ירושלים</v>
      </c>
    </row>
    <row r="754" spans="1:3" ht="12.75">
      <c r="A754" s="83">
        <v>580541332</v>
      </c>
      <c r="B754" s="84">
        <v>125217.76</v>
      </c>
      <c r="C754" t="str">
        <f>VLOOKUP(A754,גיליון2!$B$5:$C$1319,2,0)</f>
        <v>עמותת מועדון השייט מכמורת עמק חפר</v>
      </c>
    </row>
    <row r="755" spans="1:3" ht="12.75">
      <c r="A755" s="83">
        <v>580541647</v>
      </c>
      <c r="B755" s="84">
        <v>102337.88</v>
      </c>
      <c r="C755" t="str">
        <f>VLOOKUP(A755,גיליון2!$B$5:$C$1319,2,0)</f>
        <v>העמותה לטיפוח הכדרוסל והספורט בהרי ירושלים</v>
      </c>
    </row>
    <row r="756" spans="1:3" ht="12.75">
      <c r="A756" s="83">
        <v>580542421</v>
      </c>
      <c r="B756" s="84">
        <v>29636.39</v>
      </c>
      <c r="C756" t="str">
        <f>VLOOKUP(A756,גיליון2!$B$5:$C$1319,2,0)</f>
        <v>אטיוד - עמותה לקידום ענף השחמט בגוש דן</v>
      </c>
    </row>
    <row r="757" spans="1:3" ht="12.75">
      <c r="A757" s="83">
        <v>580542710</v>
      </c>
      <c r="B757" s="84">
        <v>186416.26</v>
      </c>
      <c r="C757" t="str">
        <f>VLOOKUP(A757,גיליון2!$B$5:$C$1319,2,0)</f>
        <v>מועדון האלופים דלית אל כרמל</v>
      </c>
    </row>
    <row r="758" spans="1:3" ht="12.75">
      <c r="A758" s="83">
        <v>580543296</v>
      </c>
      <c r="B758" s="84">
        <v>50275.96</v>
      </c>
      <c r="C758" t="str">
        <f>VLOOKUP(A758,גיליון2!$B$5:$C$1319,2,0)</f>
        <v>איחוד בני גת</v>
      </c>
    </row>
    <row r="759" spans="1:3" ht="12.75">
      <c r="A759" s="83">
        <v>580543320</v>
      </c>
      <c r="B759" s="84">
        <v>212804.9</v>
      </c>
      <c r="C759" t="str">
        <f>VLOOKUP(A759,גיליון2!$B$5:$C$1319,2,0)</f>
        <v>העמותה לקידום בני נוער בכדורסל ובספורט מכבי רמת גן</v>
      </c>
    </row>
    <row r="760" spans="1:3" ht="12.75">
      <c r="A760" s="83">
        <v>580543585</v>
      </c>
      <c r="B760" s="84">
        <v>47672.04</v>
      </c>
      <c r="C760" t="str">
        <f>VLOOKUP(A760,גיליון2!$B$5:$C$1319,2,0)</f>
        <v>פינירס תאקל פוטבול</v>
      </c>
    </row>
    <row r="761" spans="1:3" ht="12.75">
      <c r="A761" s="83">
        <v>580543858</v>
      </c>
      <c r="B761" s="84">
        <v>197088.77</v>
      </c>
      <c r="C761" t="str">
        <f>VLOOKUP(A761,גיליון2!$B$5:$C$1319,2,0)</f>
        <v>עמותת הפועל אום אל פאחם 2011</v>
      </c>
    </row>
    <row r="762" spans="1:3" ht="12.75">
      <c r="A762" s="83">
        <v>580544195</v>
      </c>
      <c r="B762" s="84">
        <v>125689.92</v>
      </c>
      <c r="C762" t="str">
        <f>VLOOKUP(A762,גיליון2!$B$5:$C$1319,2,0)</f>
        <v>הפועל טירת הכרמל</v>
      </c>
    </row>
    <row r="763" spans="1:3" ht="12.75">
      <c r="A763" s="83">
        <v>580545523</v>
      </c>
      <c r="B763" s="84">
        <v>156239.56</v>
      </c>
      <c r="C763" t="str">
        <f>VLOOKUP(A763,גיליון2!$B$5:$C$1319,2,0)</f>
        <v>העמותה לקידום הספורט והאחווה יקנעם</v>
      </c>
    </row>
    <row r="764" spans="1:3" ht="12.75">
      <c r="A764" s="83">
        <v>580545846</v>
      </c>
      <c r="B764" s="84">
        <v>12310.16</v>
      </c>
      <c r="C764" t="str">
        <f>VLOOKUP(A764,גיליון2!$B$5:$C$1319,2,0)</f>
        <v>מועדון ירי מעשי הרצליה לנדסמן</v>
      </c>
    </row>
    <row r="765" spans="1:3" ht="12.75">
      <c r="A765" s="83">
        <v>580546091</v>
      </c>
      <c r="B765" s="84">
        <v>63892.38</v>
      </c>
      <c r="C765" t="str">
        <f>VLOOKUP(A765,גיליון2!$B$5:$C$1319,2,0)</f>
        <v>מועדון כדורגל מכבי נהריה 2011</v>
      </c>
    </row>
    <row r="766" spans="1:3" ht="12.75">
      <c r="A766" s="83">
        <v>580546133</v>
      </c>
      <c r="B766" s="84">
        <v>79254.48</v>
      </c>
      <c r="C766" t="str">
        <f>VLOOKUP(A766,גיליון2!$B$5:$C$1319,2,0)</f>
        <v>ותיקי כנא לספורט  </v>
      </c>
    </row>
    <row r="767" spans="1:3" ht="12.75">
      <c r="A767" s="83">
        <v>580546323</v>
      </c>
      <c r="B767" s="84">
        <v>253300.1</v>
      </c>
      <c r="C767" t="str">
        <f>VLOOKUP(A767,גיליון2!$B$5:$C$1319,2,0)</f>
        <v>הפועל איכסאל עמאד</v>
      </c>
    </row>
    <row r="768" spans="1:3" ht="12.75">
      <c r="A768" s="83">
        <v>580546646</v>
      </c>
      <c r="B768" s="84">
        <v>227805.88</v>
      </c>
      <c r="C768" t="str">
        <f>VLOOKUP(A768,גיליון2!$B$5:$C$1319,2,0)</f>
        <v>אתגר לירוחם</v>
      </c>
    </row>
    <row r="769" spans="1:3" ht="12.75">
      <c r="A769" s="83">
        <v>580546695</v>
      </c>
      <c r="B769" s="84">
        <v>102995.91</v>
      </c>
      <c r="C769" t="str">
        <f>VLOOKUP(A769,גיליון2!$B$5:$C$1319,2,0)</f>
        <v>עאון ללתעלים -עמותת קבוצת הכדורגל אלנהדה</v>
      </c>
    </row>
    <row r="770" spans="1:3" ht="12.75">
      <c r="A770" s="83">
        <v>580546851</v>
      </c>
      <c r="B770" s="84">
        <v>11724.14</v>
      </c>
      <c r="C770" t="str">
        <f>VLOOKUP(A770,גיליון2!$B$5:$C$1319,2,0)</f>
        <v>אופק מרכזי טניס שולחן</v>
      </c>
    </row>
    <row r="771" spans="1:3" ht="12.75">
      <c r="A771" s="83">
        <v>580546992</v>
      </c>
      <c r="B771" s="84">
        <v>126737.34</v>
      </c>
      <c r="C771" t="str">
        <f>VLOOKUP(A771,גיליון2!$B$5:$C$1319,2,0)</f>
        <v>מועדון ספורט כפר יאסיף</v>
      </c>
    </row>
    <row r="772" spans="1:3" ht="12.75">
      <c r="A772" s="83">
        <v>580547339</v>
      </c>
      <c r="B772" s="84">
        <v>104656.27</v>
      </c>
      <c r="C772" t="str">
        <f>VLOOKUP(A772,גיליון2!$B$5:$C$1319,2,0)</f>
        <v>העמותה לקידום הקליעה והספורט ברחובות</v>
      </c>
    </row>
    <row r="773" spans="1:3" ht="12.75">
      <c r="A773" s="83">
        <v>580547578</v>
      </c>
      <c r="B773" s="84">
        <v>19012.12</v>
      </c>
      <c r="C773" t="str">
        <f>VLOOKUP(A773,גיליון2!$B$5:$C$1319,2,0)</f>
        <v>הפועל חיפה טניס שולחן</v>
      </c>
    </row>
    <row r="774" spans="1:3" ht="12.75">
      <c r="A774" s="83">
        <v>580548311</v>
      </c>
      <c r="B774" s="84">
        <v>12109.02</v>
      </c>
      <c r="C774" t="str">
        <f>VLOOKUP(A774,גיליון2!$B$5:$C$1319,2,0)</f>
        <v>דרקון הזהב - אומנויות לחימה</v>
      </c>
    </row>
    <row r="775" spans="1:3" ht="12.75">
      <c r="A775" s="83">
        <v>580548717</v>
      </c>
      <c r="B775" s="84">
        <v>55710.66</v>
      </c>
      <c r="C775" t="str">
        <f>VLOOKUP(A775,גיליון2!$B$5:$C$1319,2,0)</f>
        <v>העמותה לעידוד הספורטאי החרש אשדוד</v>
      </c>
    </row>
    <row r="776" spans="1:3" ht="12.75">
      <c r="A776" s="83">
        <v>580548907</v>
      </c>
      <c r="B776" s="84">
        <v>338790.13</v>
      </c>
      <c r="C776" t="str">
        <f>VLOOKUP(A776,גיליון2!$B$5:$C$1319,2,0)</f>
        <v>עמותת הנוער לספורט בתל מונד</v>
      </c>
    </row>
    <row r="777" spans="1:3" ht="12.75">
      <c r="A777" s="83">
        <v>580549483</v>
      </c>
      <c r="B777" s="84">
        <v>55513.05</v>
      </c>
      <c r="C777" t="str">
        <f>VLOOKUP(A777,גיליון2!$B$5:$C$1319,2,0)</f>
        <v>עמותת בני אלסאלם רהט</v>
      </c>
    </row>
    <row r="778" spans="1:3" ht="12.75">
      <c r="A778" s="83">
        <v>580549558</v>
      </c>
      <c r="B778" s="84">
        <v>44568</v>
      </c>
      <c r="C778" t="str">
        <f>VLOOKUP(A778,גיליון2!$B$5:$C$1319,2,0)</f>
        <v>עמותה לפיתוח ספורטאים בישראל -לוד</v>
      </c>
    </row>
    <row r="779" spans="1:3" ht="12.75">
      <c r="A779" s="83">
        <v>580549830</v>
      </c>
      <c r="B779" s="84">
        <v>16916.4</v>
      </c>
      <c r="C779" t="e">
        <f>VLOOKUP(A779,גיליון2!$B$5:$C$1319,2,0)</f>
        <v>#N/A</v>
      </c>
    </row>
    <row r="780" spans="1:3" ht="12.75">
      <c r="A780" s="83">
        <v>580550218</v>
      </c>
      <c r="B780" s="84">
        <v>63562.73</v>
      </c>
      <c r="C780" t="str">
        <f>VLOOKUP(A780,גיליון2!$B$5:$C$1319,2,0)</f>
        <v>פוטבול נגב</v>
      </c>
    </row>
    <row r="781" spans="1:3" ht="12.75">
      <c r="A781" s="83">
        <v>580550374</v>
      </c>
      <c r="B781" s="84">
        <v>25172.57</v>
      </c>
      <c r="C781" t="str">
        <f>VLOOKUP(A781,גיליון2!$B$5:$C$1319,2,0)</f>
        <v>אתלטיק קלאב פ"ת</v>
      </c>
    </row>
    <row r="782" spans="1:3" ht="12.75">
      <c r="A782" s="83">
        <v>580550432</v>
      </c>
      <c r="B782" s="84">
        <v>144765.22</v>
      </c>
      <c r="C782" t="str">
        <f>VLOOKUP(A782,גיליון2!$B$5:$C$1319,2,0)</f>
        <v>העמותה לקידום הספורט ההשגי בנהריה</v>
      </c>
    </row>
    <row r="783" spans="1:3" ht="12.75">
      <c r="A783" s="83">
        <v>580551109</v>
      </c>
      <c r="B783" s="84">
        <v>104119.6</v>
      </c>
      <c r="C783" t="str">
        <f>VLOOKUP(A783,גיליון2!$B$5:$C$1319,2,0)</f>
        <v>אליצור מכבי אשקלון</v>
      </c>
    </row>
    <row r="784" spans="1:3" ht="12.75">
      <c r="A784" s="83">
        <v>580551323</v>
      </c>
      <c r="B784" s="84">
        <v>175677.4</v>
      </c>
      <c r="C784" t="str">
        <f>VLOOKUP(A784,גיליון2!$B$5:$C$1319,2,0)</f>
        <v>העמותה לקידום הספורט במרכז כנא מאיר</v>
      </c>
    </row>
    <row r="785" spans="1:3" ht="12.75">
      <c r="A785" s="83">
        <v>580551558</v>
      </c>
      <c r="B785" s="84">
        <v>2737.84</v>
      </c>
      <c r="C785" t="e">
        <f>VLOOKUP(A785,גיליון2!$B$5:$C$1319,2,0)</f>
        <v>#N/A</v>
      </c>
    </row>
    <row r="786" spans="1:3" ht="12.75">
      <c r="A786" s="83">
        <v>580551588</v>
      </c>
      <c r="B786" s="84">
        <v>99049.41</v>
      </c>
      <c r="C786" t="str">
        <f>VLOOKUP(A786,גיליון2!$B$5:$C$1319,2,0)</f>
        <v>עמותת קיק בוקס סכנין</v>
      </c>
    </row>
    <row r="787" spans="1:3" ht="12.75">
      <c r="A787" s="83">
        <v>580551802</v>
      </c>
      <c r="B787" s="84">
        <v>48886.11</v>
      </c>
      <c r="C787" t="str">
        <f>VLOOKUP(A787,גיליון2!$B$5:$C$1319,2,0)</f>
        <v>העמותה למצוינות בספורט מכבי קרית חיים</v>
      </c>
    </row>
    <row r="788" spans="1:3" ht="12.75">
      <c r="A788" s="83">
        <v>580552107</v>
      </c>
      <c r="B788" s="84">
        <v>3862.18</v>
      </c>
      <c r="C788" t="str">
        <f>VLOOKUP(A788,גיליון2!$B$5:$C$1319,2,0)</f>
        <v>הרמוני גבעתיים</v>
      </c>
    </row>
    <row r="789" spans="1:3" ht="12.75">
      <c r="A789" s="83">
        <v>580552461</v>
      </c>
      <c r="B789" s="84">
        <v>162471.13</v>
      </c>
      <c r="C789" t="str">
        <f>VLOOKUP(A789,גיליון2!$B$5:$C$1319,2,0)</f>
        <v>הפועל דיר חנא</v>
      </c>
    </row>
    <row r="790" spans="1:3" ht="12.75">
      <c r="A790" s="83">
        <v>580553022</v>
      </c>
      <c r="B790" s="84">
        <v>48106.6</v>
      </c>
      <c r="C790" t="str">
        <f>VLOOKUP(A790,גיליון2!$B$5:$C$1319,2,0)</f>
        <v>ביתר ירושלים בכדרוסל</v>
      </c>
    </row>
    <row r="791" spans="1:3" ht="12.75">
      <c r="A791" s="83">
        <v>580553071</v>
      </c>
      <c r="B791" s="84">
        <v>56569.8</v>
      </c>
      <c r="C791" t="str">
        <f>VLOOKUP(A791,גיליון2!$B$5:$C$1319,2,0)</f>
        <v>מועדון הכדורסל מכבי קדימה צורן</v>
      </c>
    </row>
    <row r="792" spans="1:3" ht="12.75">
      <c r="A792" s="83">
        <v>580553097</v>
      </c>
      <c r="B792" s="84">
        <v>49228.55</v>
      </c>
      <c r="C792" t="str">
        <f>VLOOKUP(A792,גיליון2!$B$5:$C$1319,2,0)</f>
        <v>מועדון ספורט נתניה קולט כהן</v>
      </c>
    </row>
    <row r="793" spans="1:3" ht="12.75">
      <c r="A793" s="83">
        <v>580553741</v>
      </c>
      <c r="B793" s="84">
        <v>227725.07</v>
      </c>
      <c r="C793" t="str">
        <f>VLOOKUP(A793,גיליון2!$B$5:$C$1319,2,0)</f>
        <v>מגיעים רחוק כדורעף נשים וגברים</v>
      </c>
    </row>
    <row r="794" spans="1:3" ht="12.75">
      <c r="A794" s="83">
        <v>580555647</v>
      </c>
      <c r="B794" s="84">
        <v>76168.78</v>
      </c>
      <c r="C794" t="str">
        <f>VLOOKUP(A794,גיליון2!$B$5:$C$1319,2,0)</f>
        <v>מועדון ספורט באקה אלגרבייה</v>
      </c>
    </row>
    <row r="795" spans="1:3" ht="12.75">
      <c r="A795" s="83">
        <v>580556447</v>
      </c>
      <c r="B795" s="84">
        <v>31422.48</v>
      </c>
      <c r="C795" t="str">
        <f>VLOOKUP(A795,גיליון2!$B$5:$C$1319,2,0)</f>
        <v>מכבי פרדס כץ ער</v>
      </c>
    </row>
    <row r="796" spans="1:3" ht="12.75">
      <c r="A796" s="83">
        <v>580556488</v>
      </c>
      <c r="B796" s="84">
        <v>82047.6</v>
      </c>
      <c r="C796" t="str">
        <f>VLOOKUP(A796,גיליון2!$B$5:$C$1319,2,0)</f>
        <v>חמושב חוסן יהודה אדרי</v>
      </c>
    </row>
    <row r="797" spans="1:3" ht="12.75">
      <c r="A797" s="83">
        <v>580557965</v>
      </c>
      <c r="B797" s="84">
        <v>94267.44</v>
      </c>
      <c r="C797" t="str">
        <f>VLOOKUP(A797,גיליון2!$B$5:$C$1319,2,0)</f>
        <v>מכבי עוספיא כדורגל</v>
      </c>
    </row>
    <row r="798" spans="1:3" ht="12.75">
      <c r="A798" s="83">
        <v>580558708</v>
      </c>
      <c r="B798" s="84">
        <v>113120.94</v>
      </c>
      <c r="C798" t="str">
        <f>VLOOKUP(A798,גיליון2!$B$5:$C$1319,2,0)</f>
        <v>בני אום אל פאחם</v>
      </c>
    </row>
    <row r="799" spans="1:3" ht="12.75">
      <c r="A799" s="83">
        <v>580560548</v>
      </c>
      <c r="B799" s="84">
        <v>201223.67</v>
      </c>
      <c r="C799" t="str">
        <f>VLOOKUP(A799,גיליון2!$B$5:$C$1319,2,0)</f>
        <v>מסד הר חברון</v>
      </c>
    </row>
    <row r="800" spans="1:3" ht="12.75">
      <c r="A800" s="83">
        <v>580561868</v>
      </c>
      <c r="B800" s="84">
        <v>37093.03</v>
      </c>
      <c r="C800" t="str">
        <f>VLOOKUP(A800,גיליון2!$B$5:$C$1319,2,0)</f>
        <v>מרכז ספורט והתעמלות אור עקיבא</v>
      </c>
    </row>
    <row r="801" spans="1:3" ht="12.75">
      <c r="A801" s="83">
        <v>580561918</v>
      </c>
      <c r="B801" s="84">
        <v>100222.08</v>
      </c>
      <c r="C801" t="str">
        <f>VLOOKUP(A801,גיליון2!$B$5:$C$1319,2,0)</f>
        <v>נ.ש.ג.ע נשים גליל עליון</v>
      </c>
    </row>
    <row r="802" spans="1:3" ht="12.75">
      <c r="A802" s="83">
        <v>580562494</v>
      </c>
      <c r="B802" s="84">
        <v>86859.13</v>
      </c>
      <c r="C802" t="str">
        <f>VLOOKUP(A802,גיליון2!$B$5:$C$1319,2,0)</f>
        <v>העמותה לקידום הכדורסל בגליל העליון</v>
      </c>
    </row>
    <row r="803" spans="1:3" ht="12.75">
      <c r="A803" s="83">
        <v>580563039</v>
      </c>
      <c r="B803" s="84">
        <v>63892.38</v>
      </c>
      <c r="C803" t="str">
        <f>VLOOKUP(A803,גיליון2!$B$5:$C$1319,2,0)</f>
        <v>בית הספר לכדורגל ע"ש ארז אשכנזי</v>
      </c>
    </row>
    <row r="804" spans="1:3" ht="12.75">
      <c r="A804" s="83">
        <v>580563120</v>
      </c>
      <c r="B804" s="84">
        <v>55567.57</v>
      </c>
      <c r="C804" t="str">
        <f>VLOOKUP(A804,גיליון2!$B$5:$C$1319,2,0)</f>
        <v>עמותה עירונית לספורט בצפת</v>
      </c>
    </row>
    <row r="805" spans="1:3" ht="12.75">
      <c r="A805" s="83">
        <v>580563146</v>
      </c>
      <c r="B805" s="84">
        <v>75149.5</v>
      </c>
      <c r="C805" t="str">
        <f>VLOOKUP(A805,גיליון2!$B$5:$C$1319,2,0)</f>
        <v>סנונית אקרובטיקה  והתעמלות</v>
      </c>
    </row>
    <row r="806" spans="1:3" ht="12.75">
      <c r="A806" s="83">
        <v>580563625</v>
      </c>
      <c r="B806" s="84">
        <v>229209.53</v>
      </c>
      <c r="C806" t="str">
        <f>VLOOKUP(A806,גיליון2!$B$5:$C$1319,2,0)</f>
        <v>עמותת ספורט אלופי נחף</v>
      </c>
    </row>
    <row r="807" spans="1:3" ht="12.75">
      <c r="A807" s="83">
        <v>580563740</v>
      </c>
      <c r="B807" s="84">
        <v>15769.48</v>
      </c>
      <c r="C807" t="str">
        <f>VLOOKUP(A807,גיליון2!$B$5:$C$1319,2,0)</f>
        <v>אגודת אתלטיקה גלילית</v>
      </c>
    </row>
    <row r="808" spans="1:3" ht="12.75">
      <c r="A808" s="83">
        <v>580564110</v>
      </c>
      <c r="B808" s="84">
        <v>10136.14</v>
      </c>
      <c r="C808" t="e">
        <f>VLOOKUP(A808,גיליון2!$B$5:$C$1319,2,0)</f>
        <v>#N/A</v>
      </c>
    </row>
    <row r="809" spans="1:3" ht="12.75">
      <c r="A809" s="83">
        <v>580564961</v>
      </c>
      <c r="B809" s="84">
        <v>50630.15</v>
      </c>
      <c r="C809" t="str">
        <f>VLOOKUP(A809,גיליון2!$B$5:$C$1319,2,0)</f>
        <v>מורדי יהודה</v>
      </c>
    </row>
    <row r="810" spans="1:3" ht="12.75">
      <c r="A810" s="83">
        <v>580565406</v>
      </c>
      <c r="B810" s="84">
        <v>106712.02</v>
      </c>
      <c r="C810" t="str">
        <f>VLOOKUP(A810,גיליון2!$B$5:$C$1319,2,0)</f>
        <v>מועדון אריות ירושלים</v>
      </c>
    </row>
    <row r="811" spans="1:3" ht="12.75">
      <c r="A811" s="83">
        <v>580566057</v>
      </c>
      <c r="B811" s="84">
        <v>174220.2</v>
      </c>
      <c r="C811" t="str">
        <f>VLOOKUP(A811,גיליון2!$B$5:$C$1319,2,0)</f>
        <v>העתיד ג'דידה מכר</v>
      </c>
    </row>
    <row r="812" spans="1:3" ht="12.75">
      <c r="A812" s="83">
        <v>580566164</v>
      </c>
      <c r="B812" s="84">
        <v>32367.51</v>
      </c>
      <c r="C812" t="str">
        <f>VLOOKUP(A812,גיליון2!$B$5:$C$1319,2,0)</f>
        <v>אורות חיפה- התעמלות ואקרובטיקה</v>
      </c>
    </row>
    <row r="813" spans="1:3" ht="12.75">
      <c r="A813" s="83">
        <v>580566743</v>
      </c>
      <c r="B813" s="84">
        <v>79254.48</v>
      </c>
      <c r="C813" t="str">
        <f>VLOOKUP(A813,גיליון2!$B$5:$C$1319,2,0)</f>
        <v>צעירי כפר כנא</v>
      </c>
    </row>
    <row r="814" spans="1:3" ht="12.75">
      <c r="A814" s="83">
        <v>580566776</v>
      </c>
      <c r="B814" s="84">
        <v>59910.53</v>
      </c>
      <c r="C814" t="str">
        <f>VLOOKUP(A814,גיליון2!$B$5:$C$1319,2,0)</f>
        <v>הפועל בני פסוטה</v>
      </c>
    </row>
    <row r="815" spans="1:3" ht="12.75">
      <c r="A815" s="83">
        <v>580567972</v>
      </c>
      <c r="B815" s="84">
        <v>87972.72</v>
      </c>
      <c r="C815" t="str">
        <f>VLOOKUP(A815,גיליון2!$B$5:$C$1319,2,0)</f>
        <v>הפועל פרדסיה</v>
      </c>
    </row>
    <row r="816" spans="1:3" ht="12.75">
      <c r="A816" s="83">
        <v>580568681</v>
      </c>
      <c r="B816" s="84">
        <v>47300.93</v>
      </c>
      <c r="C816" t="str">
        <f>VLOOKUP(A816,גיליון2!$B$5:$C$1319,2,0)</f>
        <v>ספורטאי שוגון קראטה מודיעין</v>
      </c>
    </row>
    <row r="817" spans="1:3" ht="12.75">
      <c r="A817" s="83">
        <v>580570034</v>
      </c>
      <c r="B817" s="84">
        <v>18626.8</v>
      </c>
      <c r="C817" t="e">
        <f>VLOOKUP(A817,גיליון2!$B$5:$C$1319,2,0)</f>
        <v>#N/A</v>
      </c>
    </row>
    <row r="818" spans="1:3" ht="12.75">
      <c r="A818" s="83">
        <v>580575827</v>
      </c>
      <c r="B818" s="84">
        <v>61548.22</v>
      </c>
      <c r="C818" t="str">
        <f>VLOOKUP(A818,גיליון2!$B$5:$C$1319,2,0)</f>
        <v>עוצמה בועז</v>
      </c>
    </row>
    <row r="819" spans="1:3" ht="12.75">
      <c r="A819" s="83">
        <v>580576247</v>
      </c>
      <c r="B819" s="84">
        <v>54788.07</v>
      </c>
      <c r="C819" t="str">
        <f>VLOOKUP(A819,גיליון2!$B$5:$C$1319,2,0)</f>
        <v>עמותת אחווה ירכא</v>
      </c>
    </row>
    <row r="820" spans="1:3" ht="12.75">
      <c r="A820" s="83">
        <v>580576346</v>
      </c>
      <c r="B820" s="84">
        <v>50822.39</v>
      </c>
      <c r="C820" t="str">
        <f>VLOOKUP(A820,גיליון2!$B$5:$C$1319,2,0)</f>
        <v>גודוגו האקדמיה הראשונה לגודו</v>
      </c>
    </row>
    <row r="821" spans="1:3" ht="12.75">
      <c r="A821" s="83">
        <v>580576866</v>
      </c>
      <c r="B821" s="84">
        <v>144194.26</v>
      </c>
      <c r="C821" t="str">
        <f>VLOOKUP(A821,גיליון2!$B$5:$C$1319,2,0)</f>
        <v>מועדון כדרוגל בנות נתניה</v>
      </c>
    </row>
    <row r="822" spans="1:3" ht="12.75">
      <c r="A822" s="83">
        <v>580577591</v>
      </c>
      <c r="B822" s="84">
        <v>21435.15</v>
      </c>
      <c r="C822" t="e">
        <f>VLOOKUP(A822,גיליון2!$B$5:$C$1319,2,0)</f>
        <v>#N/A</v>
      </c>
    </row>
    <row r="823" spans="1:3" ht="12.75">
      <c r="A823" s="83">
        <v>580577849</v>
      </c>
      <c r="B823" s="84">
        <v>58437.75</v>
      </c>
      <c r="C823" t="str">
        <f>VLOOKUP(A823,גיליון2!$B$5:$C$1319,2,0)</f>
        <v>מועדון ספורט חרשים יהוד מונסון</v>
      </c>
    </row>
    <row r="824" spans="1:3" ht="12.75">
      <c r="A824" s="83">
        <v>580578250</v>
      </c>
      <c r="B824" s="84">
        <v>554805.18</v>
      </c>
      <c r="C824" t="str">
        <f>VLOOKUP(A824,גיליון2!$B$5:$C$1319,2,0)</f>
        <v>העמותה לקידום הכדורעף בירושלים וסביבותיה</v>
      </c>
    </row>
    <row r="825" spans="1:3" ht="12.75">
      <c r="A825" s="83">
        <v>580578623</v>
      </c>
      <c r="B825" s="84">
        <v>63368.67</v>
      </c>
      <c r="C825" t="str">
        <f>VLOOKUP(A825,גיליון2!$B$5:$C$1319,2,0)</f>
        <v>עמותת שלום לקידום הספורט חורה</v>
      </c>
    </row>
    <row r="826" spans="1:3" ht="12.75">
      <c r="A826" s="83">
        <v>580579068</v>
      </c>
      <c r="B826" s="84">
        <v>23242.09</v>
      </c>
      <c r="C826" t="str">
        <f>VLOOKUP(A826,גיליון2!$B$5:$C$1319,2,0)</f>
        <v>מועדון שחיה קרית אתא</v>
      </c>
    </row>
    <row r="827" spans="1:3" ht="12.75">
      <c r="A827" s="83">
        <v>580580181</v>
      </c>
      <c r="B827" s="84">
        <v>2737.84</v>
      </c>
      <c r="C827" t="str">
        <f>VLOOKUP(A827,גיליון2!$B$5:$C$1319,2,0)</f>
        <v>עמותת איאן קלנסואה שחייה</v>
      </c>
    </row>
    <row r="828" spans="1:3" ht="12.75">
      <c r="A828" s="83">
        <v>580580561</v>
      </c>
      <c r="B828" s="84">
        <v>56909.6</v>
      </c>
      <c r="C828" t="str">
        <f>VLOOKUP(A828,גיליון2!$B$5:$C$1319,2,0)</f>
        <v>העמותה לחינוך וספורט הישגי אשקלון</v>
      </c>
    </row>
    <row r="829" spans="1:3" ht="12.75">
      <c r="A829" s="83">
        <v>580581098</v>
      </c>
      <c r="B829" s="84">
        <v>134592.96</v>
      </c>
      <c r="C829" t="str">
        <f>VLOOKUP(A829,גיליון2!$B$5:$C$1319,2,0)</f>
        <v>מכבי כפר מנדא</v>
      </c>
    </row>
    <row r="830" spans="1:3" ht="12.75">
      <c r="A830" s="83">
        <v>580582351</v>
      </c>
      <c r="B830" s="84">
        <v>47482.86</v>
      </c>
      <c r="C830" t="str">
        <f>VLOOKUP(A830,גיליון2!$B$5:$C$1319,2,0)</f>
        <v>גול פעילות ספורטיבית אומרנות ותרבות שעב</v>
      </c>
    </row>
    <row r="831" spans="1:3" ht="12.75">
      <c r="A831" s="83">
        <v>580582856</v>
      </c>
      <c r="B831" s="84">
        <v>163396.9</v>
      </c>
      <c r="C831" t="str">
        <f>VLOOKUP(A831,גיליון2!$B$5:$C$1319,2,0)</f>
        <v>ביתר נורדיה ירושלים</v>
      </c>
    </row>
    <row r="832" spans="1:3" ht="12.75">
      <c r="A832" s="83">
        <v>580584175</v>
      </c>
      <c r="B832" s="84">
        <v>4494.29</v>
      </c>
      <c r="C832" t="str">
        <f>VLOOKUP(A832,גיליון2!$B$5:$C$1319,2,0)</f>
        <v>מכבי עמי נצרת עלית ספורט</v>
      </c>
    </row>
    <row r="833" spans="1:3" ht="12.75">
      <c r="A833" s="83">
        <v>580584183</v>
      </c>
      <c r="B833" s="84">
        <v>18301.71</v>
      </c>
      <c r="C833" t="str">
        <f>VLOOKUP(A833,גיליון2!$B$5:$C$1319,2,0)</f>
        <v>מכבי עמי אשקלון</v>
      </c>
    </row>
    <row r="834" spans="1:3" ht="12.75">
      <c r="A834" s="83">
        <v>580584191</v>
      </c>
      <c r="B834" s="84">
        <v>4649.51</v>
      </c>
      <c r="C834" t="str">
        <f>VLOOKUP(A834,גיליון2!$B$5:$C$1319,2,0)</f>
        <v>מכבי עמי שדרות</v>
      </c>
    </row>
    <row r="835" spans="1:3" ht="12.75">
      <c r="A835" s="83">
        <v>580584597</v>
      </c>
      <c r="B835" s="84">
        <v>33193.97</v>
      </c>
      <c r="C835" t="str">
        <f>VLOOKUP(A835,גיליון2!$B$5:$C$1319,2,0)</f>
        <v>עמותת הלוחם והרוח</v>
      </c>
    </row>
    <row r="836" spans="1:3" ht="12.75">
      <c r="A836" s="83">
        <v>580585016</v>
      </c>
      <c r="B836" s="84">
        <v>15343.81</v>
      </c>
      <c r="C836" t="str">
        <f>VLOOKUP(A836,גיליון2!$B$5:$C$1319,2,0)</f>
        <v>אגודת הנוער והשחייה סחנין</v>
      </c>
    </row>
    <row r="837" spans="1:3" ht="12.75">
      <c r="A837" s="83">
        <v>580585289</v>
      </c>
      <c r="B837" s="84">
        <v>23548.75</v>
      </c>
      <c r="C837" t="str">
        <f>VLOOKUP(A837,גיליון2!$B$5:$C$1319,2,0)</f>
        <v>עמותה לקידום ספורט הסיוף בתל אביב ובמרכז</v>
      </c>
    </row>
    <row r="838" spans="1:3" ht="12.75">
      <c r="A838" s="83">
        <v>580585297</v>
      </c>
      <c r="B838" s="84">
        <v>32377.2</v>
      </c>
      <c r="C838" t="str">
        <f>VLOOKUP(A838,גיליון2!$B$5:$C$1319,2,0)</f>
        <v>אייס חולון</v>
      </c>
    </row>
    <row r="839" spans="1:3" ht="12.75">
      <c r="A839" s="83">
        <v>580585990</v>
      </c>
      <c r="B839" s="84">
        <v>255499.14</v>
      </c>
      <c r="C839" t="str">
        <f>VLOOKUP(A839,גיליון2!$B$5:$C$1319,2,0)</f>
        <v>עלה גלגולים כרמיאל</v>
      </c>
    </row>
    <row r="840" spans="1:3" ht="12.75">
      <c r="A840" s="83">
        <v>580587459</v>
      </c>
      <c r="B840" s="84">
        <v>42382.02</v>
      </c>
      <c r="C840" t="str">
        <f>VLOOKUP(A840,גיליון2!$B$5:$C$1319,2,0)</f>
        <v>כפר קאסם </v>
      </c>
    </row>
    <row r="841" spans="1:3" ht="12.75">
      <c r="A841" s="83">
        <v>580587723</v>
      </c>
      <c r="B841" s="84">
        <v>90000.66</v>
      </c>
      <c r="C841" t="str">
        <f>VLOOKUP(A841,גיליון2!$B$5:$C$1319,2,0)</f>
        <v>קידום הספורט בק'רית מוצקין</v>
      </c>
    </row>
    <row r="842" spans="1:3" ht="12.75">
      <c r="A842" s="83">
        <v>580588325</v>
      </c>
      <c r="B842" s="84">
        <v>23741.43</v>
      </c>
      <c r="C842" t="str">
        <f>VLOOKUP(A842,גיליון2!$B$5:$C$1319,2,0)</f>
        <v>מכבי דיר אל אסד</v>
      </c>
    </row>
    <row r="843" spans="1:3" ht="12.75">
      <c r="A843" s="83">
        <v>580589059</v>
      </c>
      <c r="B843" s="84">
        <v>185218.06</v>
      </c>
      <c r="C843" t="str">
        <f>VLOOKUP(A843,גיליון2!$B$5:$C$1319,2,0)</f>
        <v>מועדון ספורט חיפה רובי שפירא</v>
      </c>
    </row>
    <row r="844" spans="1:3" ht="12.75">
      <c r="A844" s="83">
        <v>580589851</v>
      </c>
      <c r="B844" s="84">
        <v>98457.11</v>
      </c>
      <c r="C844" t="str">
        <f>VLOOKUP(A844,גיליון2!$B$5:$C$1319,2,0)</f>
        <v>העמותה לקידום הספורט והחינוך אריאל</v>
      </c>
    </row>
    <row r="845" spans="1:3" ht="12.75">
      <c r="A845" s="83">
        <v>580591931</v>
      </c>
      <c r="B845" s="84">
        <v>66257.93</v>
      </c>
      <c r="C845" t="str">
        <f>VLOOKUP(A845,גיליון2!$B$5:$C$1319,2,0)</f>
        <v>מסד רחובות</v>
      </c>
    </row>
    <row r="846" spans="1:3" ht="12.75">
      <c r="A846" s="83">
        <v>580592137</v>
      </c>
      <c r="B846" s="84">
        <v>78381.63</v>
      </c>
      <c r="C846" t="str">
        <f>VLOOKUP(A846,גיליון2!$B$5:$C$1319,2,0)</f>
        <v>הפועל בני אשדוד</v>
      </c>
    </row>
    <row r="847" spans="1:3" ht="12.75">
      <c r="A847" s="83">
        <v>580592475</v>
      </c>
      <c r="B847" s="84">
        <v>95140.29</v>
      </c>
      <c r="C847" t="str">
        <f>VLOOKUP(A847,גיליון2!$B$5:$C$1319,2,0)</f>
        <v>עמותת ספורט בקהילה דיר אל אסד</v>
      </c>
    </row>
    <row r="848" spans="1:3" ht="12.75">
      <c r="A848" s="83">
        <v>580592533</v>
      </c>
      <c r="B848" s="84">
        <v>4943.07</v>
      </c>
      <c r="C848" t="str">
        <f>VLOOKUP(A848,גיליון2!$B$5:$C$1319,2,0)</f>
        <v>סקווש בונד ישראל</v>
      </c>
    </row>
    <row r="849" spans="1:3" ht="12.75">
      <c r="A849" s="83">
        <v>580592806</v>
      </c>
      <c r="B849" s="84">
        <v>98642.49</v>
      </c>
      <c r="C849" t="str">
        <f>VLOOKUP(A849,גיליון2!$B$5:$C$1319,2,0)</f>
        <v>מכבי Road Runner</v>
      </c>
    </row>
    <row r="850" spans="1:3" ht="12.75">
      <c r="A850" s="83">
        <v>580593887</v>
      </c>
      <c r="B850" s="84">
        <v>70718.91</v>
      </c>
      <c r="C850" t="str">
        <f>VLOOKUP(A850,גיליון2!$B$5:$C$1319,2,0)</f>
        <v>אליצור לוד</v>
      </c>
    </row>
    <row r="851" spans="1:3" ht="12.75">
      <c r="A851" s="83">
        <v>580594000</v>
      </c>
      <c r="B851" s="84">
        <v>43642.33</v>
      </c>
      <c r="C851" t="str">
        <f>VLOOKUP(A851,גיליון2!$B$5:$C$1319,2,0)</f>
        <v>עמותה לקידום כדורגל בחולון</v>
      </c>
    </row>
    <row r="852" spans="1:3" ht="12.75">
      <c r="A852" s="83">
        <v>580594455</v>
      </c>
      <c r="B852" s="84">
        <v>32819.04</v>
      </c>
      <c r="C852" t="e">
        <f>VLOOKUP(A852,גיליון2!$B$5:$C$1319,2,0)</f>
        <v>#N/A</v>
      </c>
    </row>
    <row r="853" spans="1:3" ht="12.75">
      <c r="A853" s="83">
        <v>580594935</v>
      </c>
      <c r="B853" s="84">
        <v>15625</v>
      </c>
      <c r="C853" t="e">
        <f>VLOOKUP(A853,גיליון2!$B$5:$C$1319,2,0)</f>
        <v>#N/A</v>
      </c>
    </row>
    <row r="854" spans="1:3" ht="12.75">
      <c r="A854" s="83">
        <v>580595031</v>
      </c>
      <c r="B854" s="84">
        <v>21297.46</v>
      </c>
      <c r="C854" t="str">
        <f>VLOOKUP(A854,גיליון2!$B$5:$C$1319,2,0)</f>
        <v>מועדון כדורגל מעיליא</v>
      </c>
    </row>
    <row r="855" spans="1:3" ht="12.75">
      <c r="A855" s="83">
        <v>580595411</v>
      </c>
      <c r="B855" s="84">
        <v>51497.95</v>
      </c>
      <c r="C855" t="str">
        <f>VLOOKUP(A855,גיליון2!$B$5:$C$1319,2,0)</f>
        <v>הפועל בני ערערה</v>
      </c>
    </row>
    <row r="856" spans="1:3" ht="12.75">
      <c r="A856" s="83">
        <v>580596005</v>
      </c>
      <c r="B856" s="84">
        <v>4107.5</v>
      </c>
      <c r="C856" t="e">
        <f>VLOOKUP(A856,גיליון2!$B$5:$C$1319,2,0)</f>
        <v>#N/A</v>
      </c>
    </row>
    <row r="857" spans="1:3" ht="12.75">
      <c r="A857" s="83">
        <v>580596377</v>
      </c>
      <c r="B857" s="84">
        <v>17483.19</v>
      </c>
      <c r="C857" t="e">
        <f>VLOOKUP(A857,גיליון2!$B$5:$C$1319,2,0)</f>
        <v>#N/A</v>
      </c>
    </row>
    <row r="858" spans="1:3" ht="12.75">
      <c r="A858" s="83">
        <v>580597862</v>
      </c>
      <c r="B858" s="84">
        <v>27041.55</v>
      </c>
      <c r="C858" t="str">
        <f>VLOOKUP(A858,גיליון2!$B$5:$C$1319,2,0)</f>
        <v>כרמל מרכזי טניס שולחן</v>
      </c>
    </row>
    <row r="859" spans="1:3" ht="12.75">
      <c r="A859" s="83">
        <v>580598183</v>
      </c>
      <c r="B859" s="84">
        <v>80322.74</v>
      </c>
      <c r="C859" t="str">
        <f>VLOOKUP(A859,גיליון2!$B$5:$C$1319,2,0)</f>
        <v>אדם בספורט ג'ודו בשרון</v>
      </c>
    </row>
    <row r="860" spans="1:3" ht="12.75">
      <c r="A860" s="83">
        <v>580598993</v>
      </c>
      <c r="B860" s="84">
        <v>26079.61</v>
      </c>
      <c r="C860" t="str">
        <f>VLOOKUP(A860,גיליון2!$B$5:$C$1319,2,0)</f>
        <v>לקידום ספורט הרוגבי וסביבותיה</v>
      </c>
    </row>
    <row r="861" spans="1:3" ht="12.75">
      <c r="A861" s="83">
        <v>580599173</v>
      </c>
      <c r="B861" s="84">
        <v>243296.2</v>
      </c>
      <c r="C861" t="str">
        <f>VLOOKUP(A861,גיליון2!$B$5:$C$1319,2,0)</f>
        <v>אלריאדה מן אג'ל בלדי שפרעם</v>
      </c>
    </row>
    <row r="862" spans="1:3" ht="12.75">
      <c r="A862" s="83">
        <v>580599660</v>
      </c>
      <c r="B862" s="84">
        <v>36838</v>
      </c>
      <c r="C862" t="str">
        <f>VLOOKUP(A862,גיליון2!$B$5:$C$1319,2,0)</f>
        <v>עמותת כפפות הזהב לאומנות לחינה סכנין</v>
      </c>
    </row>
    <row r="863" spans="1:3" ht="12.75">
      <c r="A863" s="83">
        <v>580600328</v>
      </c>
      <c r="B863" s="84">
        <v>6431.59</v>
      </c>
      <c r="C863" t="str">
        <f>VLOOKUP(A863,גיליון2!$B$5:$C$1319,2,0)</f>
        <v>מועדון השחמט שוהם</v>
      </c>
    </row>
    <row r="864" spans="1:3" ht="12.75">
      <c r="A864" s="83">
        <v>580600377</v>
      </c>
      <c r="B864" s="84">
        <v>36241.6</v>
      </c>
      <c r="C864" t="e">
        <f>VLOOKUP(A864,גיליון2!$B$5:$C$1319,2,0)</f>
        <v>#N/A</v>
      </c>
    </row>
    <row r="865" spans="1:3" ht="12.75">
      <c r="A865" s="83">
        <v>580600583</v>
      </c>
      <c r="B865" s="84">
        <v>7057.43</v>
      </c>
      <c r="C865" t="str">
        <f>VLOOKUP(A865,גיליון2!$B$5:$C$1319,2,0)</f>
        <v>העמותה לספורט איגרוף ומחול חיפה</v>
      </c>
    </row>
    <row r="866" spans="1:3" ht="12.75">
      <c r="A866" s="83">
        <v>580600997</v>
      </c>
      <c r="B866" s="84">
        <v>9094.13</v>
      </c>
      <c r="C866" t="str">
        <f>VLOOKUP(A866,גיליון2!$B$5:$C$1319,2,0)</f>
        <v>העמותה לקידום טניס שולחן בר"ג</v>
      </c>
    </row>
    <row r="867" spans="1:3" ht="12.75">
      <c r="A867" s="83">
        <v>580601755</v>
      </c>
      <c r="B867" s="84">
        <v>30184.21</v>
      </c>
      <c r="C867" t="str">
        <f>VLOOKUP(A867,גיליון2!$B$5:$C$1319,2,0)</f>
        <v>ראשונים ברוח ספורטיבית</v>
      </c>
    </row>
    <row r="868" spans="1:3" ht="12.75">
      <c r="A868" s="83">
        <v>580602613</v>
      </c>
      <c r="B868" s="84">
        <v>7869.71</v>
      </c>
      <c r="C868" t="e">
        <f>VLOOKUP(A868,גיליון2!$B$5:$C$1319,2,0)</f>
        <v>#N/A</v>
      </c>
    </row>
    <row r="869" spans="1:3" ht="12.75">
      <c r="A869" s="83">
        <v>580603025</v>
      </c>
      <c r="B869" s="84">
        <v>124285.72</v>
      </c>
      <c r="C869" t="str">
        <f>VLOOKUP(A869,גיליון2!$B$5:$C$1319,2,0)</f>
        <v>מעופפי חיפה</v>
      </c>
    </row>
    <row r="870" spans="1:3" ht="12.75">
      <c r="A870" s="83">
        <v>580603207</v>
      </c>
      <c r="B870" s="84">
        <v>36732.68</v>
      </c>
      <c r="C870" t="str">
        <f>VLOOKUP(A870,גיליון2!$B$5:$C$1319,2,0)</f>
        <v>500 וואט עמקים</v>
      </c>
    </row>
    <row r="871" spans="1:3" ht="12.75">
      <c r="A871" s="83">
        <v>580603454</v>
      </c>
      <c r="B871" s="84">
        <v>60307.29</v>
      </c>
      <c r="C871" t="str">
        <f>VLOOKUP(A871,גיליון2!$B$5:$C$1319,2,0)</f>
        <v>עמותת המולטי ספורט נס ציונה</v>
      </c>
    </row>
    <row r="872" spans="1:3" ht="12.75">
      <c r="A872" s="83">
        <v>580603892</v>
      </c>
      <c r="B872" s="84">
        <v>206441.69</v>
      </c>
      <c r="C872" t="str">
        <f>VLOOKUP(A872,גיליון2!$B$5:$C$1319,2,0)</f>
        <v>הפועל רצים בעבודה</v>
      </c>
    </row>
    <row r="873" spans="1:3" ht="12.75">
      <c r="A873" s="83">
        <v>580604528</v>
      </c>
      <c r="B873" s="84">
        <v>111026.1</v>
      </c>
      <c r="C873" t="str">
        <f>VLOOKUP(A873,גיליון2!$B$5:$C$1319,2,0)</f>
        <v>עמותת רמת הגולן לקידום הספורט</v>
      </c>
    </row>
    <row r="874" spans="1:3" ht="12.75">
      <c r="A874" s="83">
        <v>580605350</v>
      </c>
      <c r="B874" s="84">
        <v>28516.14</v>
      </c>
      <c r="C874" t="str">
        <f>VLOOKUP(A874,גיליון2!$B$5:$C$1319,2,0)</f>
        <v>גלגליות יהוד</v>
      </c>
    </row>
    <row r="875" spans="1:3" ht="12.75">
      <c r="A875" s="83">
        <v>580605632</v>
      </c>
      <c r="B875" s="84">
        <v>23741.43</v>
      </c>
      <c r="C875" t="e">
        <f>VLOOKUP(A875,גיליון2!$B$5:$C$1319,2,0)</f>
        <v>#N/A</v>
      </c>
    </row>
    <row r="876" spans="1:3" ht="12.75">
      <c r="A876" s="83">
        <v>580605699</v>
      </c>
      <c r="B876" s="84">
        <v>257682.1</v>
      </c>
      <c r="C876" t="str">
        <f>VLOOKUP(A876,גיליון2!$B$5:$C$1319,2,0)</f>
        <v>הישגי כרמיאל בענפי הספורט</v>
      </c>
    </row>
    <row r="877" spans="1:3" ht="12.75">
      <c r="A877" s="83">
        <v>580606549</v>
      </c>
      <c r="B877" s="84">
        <v>23836.02</v>
      </c>
      <c r="C877" t="str">
        <f>VLOOKUP(A877,גיליון2!$B$5:$C$1319,2,0)</f>
        <v>אגודת פוטבול נצרת</v>
      </c>
    </row>
    <row r="878" spans="1:3" ht="12.75">
      <c r="A878" s="83">
        <v>580606994</v>
      </c>
      <c r="B878" s="84">
        <v>12918.13</v>
      </c>
      <c r="C878" t="str">
        <f>VLOOKUP(A878,גיליון2!$B$5:$C$1319,2,0)</f>
        <v>העמותה לקידום נוער וספורט בישוב עין אלסהלה</v>
      </c>
    </row>
    <row r="879" spans="1:3" ht="12.75">
      <c r="A879" s="83">
        <v>580607257</v>
      </c>
      <c r="B879" s="84">
        <v>71135.4</v>
      </c>
      <c r="C879" t="str">
        <f>VLOOKUP(A879,גיליון2!$B$5:$C$1319,2,0)</f>
        <v>עמותת קיק בוקס וספורט תחרותי כפר יאסיף</v>
      </c>
    </row>
    <row r="880" spans="1:3" ht="12.75">
      <c r="A880" s="83">
        <v>580608164</v>
      </c>
      <c r="B880" s="84">
        <v>149082.21</v>
      </c>
      <c r="C880" t="str">
        <f>VLOOKUP(A880,גיליון2!$B$5:$C$1319,2,0)</f>
        <v>האדומים של אשדוד</v>
      </c>
    </row>
    <row r="881" spans="1:3" ht="12.75">
      <c r="A881" s="83">
        <v>580608420</v>
      </c>
      <c r="B881" s="84">
        <v>28811.9</v>
      </c>
      <c r="C881" t="str">
        <f>VLOOKUP(A881,גיליון2!$B$5:$C$1319,2,0)</f>
        <v>מכבי אקרובטים - ירושלים</v>
      </c>
    </row>
    <row r="882" spans="1:3" ht="12.75">
      <c r="A882" s="83">
        <v>580608685</v>
      </c>
      <c r="B882" s="84">
        <v>144019.7</v>
      </c>
      <c r="C882" t="str">
        <f>VLOOKUP(A882,גיליון2!$B$5:$C$1319,2,0)</f>
        <v>דולפיני אשדוד</v>
      </c>
    </row>
    <row r="883" spans="1:3" ht="12.75">
      <c r="A883" s="83">
        <v>580609105</v>
      </c>
      <c r="B883" s="84">
        <v>5214.05</v>
      </c>
      <c r="C883" t="str">
        <f>VLOOKUP(A883,גיליון2!$B$5:$C$1319,2,0)</f>
        <v>מועדון בדמינטון באר שבע</v>
      </c>
    </row>
    <row r="884" spans="1:3" ht="12.75">
      <c r="A884" s="83">
        <v>580610079</v>
      </c>
      <c r="B884" s="84">
        <v>141054.23</v>
      </c>
      <c r="C884" t="str">
        <f>VLOOKUP(A884,גיליון2!$B$5:$C$1319,2,0)</f>
        <v>כוכבי העתיד לספורט ואדי עארה (ערערה)</v>
      </c>
    </row>
    <row r="885" spans="1:3" ht="12.75">
      <c r="A885" s="83">
        <v>580610210</v>
      </c>
      <c r="B885" s="84">
        <v>7912.32</v>
      </c>
      <c r="C885" t="e">
        <f>VLOOKUP(A885,גיליון2!$B$5:$C$1319,2,0)</f>
        <v>#N/A</v>
      </c>
    </row>
    <row r="886" spans="1:3" ht="12.75">
      <c r="A886" s="83">
        <v>580611234</v>
      </c>
      <c r="B886" s="84">
        <v>25640.09</v>
      </c>
      <c r="C886" t="str">
        <f>VLOOKUP(A886,גיליון2!$B$5:$C$1319,2,0)</f>
        <v>עמותת השחיה שוהם</v>
      </c>
    </row>
    <row r="887" spans="1:3" ht="12.75">
      <c r="A887" s="83">
        <v>580612059</v>
      </c>
      <c r="B887" s="84">
        <v>104916.18</v>
      </c>
      <c r="C887" t="str">
        <f>VLOOKUP(A887,גיליון2!$B$5:$C$1319,2,0)</f>
        <v>עמותת פרחי הספורט לקידום הספורט בגדרה</v>
      </c>
    </row>
    <row r="888" spans="1:3" ht="12.75">
      <c r="A888" s="83">
        <v>580612778</v>
      </c>
      <c r="B888" s="84">
        <v>15144.67</v>
      </c>
      <c r="C888" t="str">
        <f>VLOOKUP(A888,גיליון2!$B$5:$C$1319,2,0)</f>
        <v>עמותה לקידום הספורט בשפיר</v>
      </c>
    </row>
    <row r="889" spans="1:3" ht="12.75">
      <c r="A889" s="83">
        <v>580613420</v>
      </c>
      <c r="B889" s="84">
        <v>31422.48</v>
      </c>
      <c r="C889" t="e">
        <f>VLOOKUP(A889,גיליון2!$B$5:$C$1319,2,0)</f>
        <v>#N/A</v>
      </c>
    </row>
    <row r="890" spans="1:3" ht="12.75">
      <c r="A890" s="83">
        <v>580613578</v>
      </c>
      <c r="B890" s="84">
        <v>31422.48</v>
      </c>
      <c r="C890" t="e">
        <f>VLOOKUP(A890,גיליון2!$B$5:$C$1319,2,0)</f>
        <v>#N/A</v>
      </c>
    </row>
    <row r="891" spans="1:3" ht="12.75">
      <c r="A891" s="83">
        <v>580613685</v>
      </c>
      <c r="B891" s="84">
        <v>49228.56</v>
      </c>
      <c r="C891" t="str">
        <f>VLOOKUP(A891,גיליון2!$B$5:$C$1319,2,0)</f>
        <v>מועדון ספורט איחוד דרום השרון</v>
      </c>
    </row>
    <row r="892" spans="1:3" ht="12.75">
      <c r="A892" s="83">
        <v>580613693</v>
      </c>
      <c r="B892" s="83">
        <v>736.72</v>
      </c>
      <c r="C892" t="e">
        <f>VLOOKUP(A892,גיליון2!$B$5:$C$1319,2,0)</f>
        <v>#N/A</v>
      </c>
    </row>
    <row r="893" spans="1:3" ht="12.75">
      <c r="A893" s="83">
        <v>580614063</v>
      </c>
      <c r="B893" s="84">
        <v>79254.48</v>
      </c>
      <c r="C893" t="e">
        <f>VLOOKUP(A893,גיליון2!$B$5:$C$1319,2,0)</f>
        <v>#N/A</v>
      </c>
    </row>
    <row r="894" spans="1:3" ht="12.75">
      <c r="A894" s="83">
        <v>580614386</v>
      </c>
      <c r="B894" s="84">
        <v>45045.31</v>
      </c>
      <c r="C894" t="str">
        <f>VLOOKUP(A894,גיליון2!$B$5:$C$1319,2,0)</f>
        <v>קיקבוקס כנא</v>
      </c>
    </row>
    <row r="895" spans="1:3" ht="12.75">
      <c r="A895" s="83">
        <v>580614907</v>
      </c>
      <c r="B895" s="84">
        <v>136687.8</v>
      </c>
      <c r="C895" t="str">
        <f>VLOOKUP(A895,גיליון2!$B$5:$C$1319,2,0)</f>
        <v>מועדון לטיפוח הנוער בכדורגל בעיר הילדים חולון</v>
      </c>
    </row>
    <row r="896" spans="1:3" ht="12.75">
      <c r="A896" s="83">
        <v>580615904</v>
      </c>
      <c r="B896" s="84">
        <v>47482.86</v>
      </c>
      <c r="C896" t="e">
        <f>VLOOKUP(A896,גיליון2!$B$5:$C$1319,2,0)</f>
        <v>#N/A</v>
      </c>
    </row>
    <row r="897" spans="1:3" ht="12.75">
      <c r="A897" s="83">
        <v>580616027</v>
      </c>
      <c r="B897" s="84">
        <v>13801.04</v>
      </c>
      <c r="C897" t="e">
        <f>VLOOKUP(A897,גיליון2!$B$5:$C$1319,2,0)</f>
        <v>#N/A</v>
      </c>
    </row>
    <row r="898" spans="1:3" ht="12.75">
      <c r="A898" s="83">
        <v>580616118</v>
      </c>
      <c r="B898" s="84">
        <v>9505.38</v>
      </c>
      <c r="C898" t="str">
        <f>VLOOKUP(A898,גיליון2!$B$5:$C$1319,2,0)</f>
        <v>עמותת הוקי פתח תקווה</v>
      </c>
    </row>
    <row r="899" spans="1:3" ht="12.75">
      <c r="A899" s="83">
        <v>580616860</v>
      </c>
      <c r="B899" s="84">
        <v>21799.94</v>
      </c>
      <c r="C899" t="str">
        <f>VLOOKUP(A899,גיליון2!$B$5:$C$1319,2,0)</f>
        <v>קידום שחיה עומר</v>
      </c>
    </row>
    <row r="900" spans="1:3" ht="12.75">
      <c r="A900" s="83">
        <v>580618122</v>
      </c>
      <c r="B900" s="84">
        <v>427786.16</v>
      </c>
      <c r="C900" t="str">
        <f>VLOOKUP(A900,גיליון2!$B$5:$C$1319,2,0)</f>
        <v>העמותה לקידום הכדורעף וכדורעף חופים באשדוד</v>
      </c>
    </row>
    <row r="901" spans="1:3" ht="12.75">
      <c r="A901" s="83">
        <v>580620318</v>
      </c>
      <c r="B901" s="84">
        <v>5757.97</v>
      </c>
      <c r="C901" t="e">
        <f>VLOOKUP(A901,גיליון2!$B$5:$C$1319,2,0)</f>
        <v>#N/A</v>
      </c>
    </row>
    <row r="902" spans="1:3" ht="12.75">
      <c r="A902" s="83">
        <v>580621241</v>
      </c>
      <c r="B902" s="84">
        <v>38491.94</v>
      </c>
      <c r="C902" t="str">
        <f>VLOOKUP(A902,גיליון2!$B$5:$C$1319,2,0)</f>
        <v>אלפארוק</v>
      </c>
    </row>
    <row r="903" spans="1:3" ht="12.75">
      <c r="A903" s="83">
        <v>580621274</v>
      </c>
      <c r="B903" s="84">
        <v>22398.3</v>
      </c>
      <c r="C903" t="e">
        <f>VLOOKUP(A903,גיליון2!$B$5:$C$1319,2,0)</f>
        <v>#N/A</v>
      </c>
    </row>
    <row r="904" spans="1:3" ht="12.75">
      <c r="A904" s="83">
        <v>580621910</v>
      </c>
      <c r="B904" s="84">
        <v>23616.95</v>
      </c>
      <c r="C904" t="str">
        <f>VLOOKUP(A904,גיליון2!$B$5:$C$1319,2,0)</f>
        <v>מועדון בדמינטון יהוד</v>
      </c>
    </row>
    <row r="905" spans="1:3" ht="12.75">
      <c r="A905" s="83">
        <v>580624765</v>
      </c>
      <c r="B905" s="84">
        <v>47657.43</v>
      </c>
      <c r="C905" t="str">
        <f>VLOOKUP(A905,גיליון2!$B$5:$C$1319,2,0)</f>
        <v>עמותת האחים לקידום הכדורגל בשעב</v>
      </c>
    </row>
    <row r="906" spans="1:3" ht="12.75">
      <c r="A906" s="83">
        <v>580625739</v>
      </c>
      <c r="B906" s="84">
        <v>10899.97</v>
      </c>
      <c r="C906" t="str">
        <f>VLOOKUP(A906,גיליון2!$B$5:$C$1319,2,0)</f>
        <v>גמים הפועל אילת בשחיה</v>
      </c>
    </row>
    <row r="907" spans="1:3" ht="12.75">
      <c r="A907" s="83">
        <v>580626471</v>
      </c>
      <c r="B907" s="84">
        <v>64142.13</v>
      </c>
      <c r="C907" t="e">
        <f>VLOOKUP(A907,גיליון2!$B$5:$C$1319,2,0)</f>
        <v>#N/A</v>
      </c>
    </row>
    <row r="908" spans="1:3" ht="12.75">
      <c r="A908" s="83">
        <v>580626489</v>
      </c>
      <c r="B908" s="84">
        <v>31402.92</v>
      </c>
      <c r="C908" t="e">
        <f>VLOOKUP(A908,גיליון2!$B$5:$C$1319,2,0)</f>
        <v>#N/A</v>
      </c>
    </row>
    <row r="909" spans="1:3" ht="12.75">
      <c r="A909" s="83">
        <v>580626687</v>
      </c>
      <c r="B909" s="84">
        <v>21585.98</v>
      </c>
      <c r="C909" t="e">
        <f>VLOOKUP(A909,גיליון2!$B$5:$C$1319,2,0)</f>
        <v>#N/A</v>
      </c>
    </row>
    <row r="910" spans="1:3" ht="12.75">
      <c r="A910" s="83">
        <v>580627669</v>
      </c>
      <c r="B910" s="84">
        <v>18322.34</v>
      </c>
      <c r="C910" t="e">
        <f>VLOOKUP(A910,גיליון2!$B$5:$C$1319,2,0)</f>
        <v>#N/A</v>
      </c>
    </row>
    <row r="911" spans="1:3" ht="12.75">
      <c r="A911" s="83">
        <v>580628659</v>
      </c>
      <c r="B911" s="84">
        <v>17176.96</v>
      </c>
      <c r="C911" t="str">
        <f>VLOOKUP(A911,גיליון2!$B$5:$C$1319,2,0)</f>
        <v>רינבוקאן לקראטה וספורט</v>
      </c>
    </row>
    <row r="912" spans="1:3" ht="12.75">
      <c r="A912" s="83">
        <v>580629962</v>
      </c>
      <c r="B912" s="84">
        <v>153364.01</v>
      </c>
      <c r="C912" t="str">
        <f>VLOOKUP(A912,גיליון2!$B$5:$C$1319,2,0)</f>
        <v>מועדון קליעה נשק הצפון</v>
      </c>
    </row>
    <row r="913" spans="1:3" ht="12.75">
      <c r="A913" s="83">
        <v>580630234</v>
      </c>
      <c r="B913" s="84">
        <v>256791.5</v>
      </c>
      <c r="C913" t="str">
        <f>VLOOKUP(A913,גיליון2!$B$5:$C$1319,2,0)</f>
        <v>האחווה הכחולה</v>
      </c>
    </row>
    <row r="914" spans="1:3" ht="12.75">
      <c r="A914" s="83">
        <v>580630622</v>
      </c>
      <c r="B914" s="84">
        <v>111357.86</v>
      </c>
      <c r="C914" t="str">
        <f>VLOOKUP(A914,גיליון2!$B$5:$C$1319,2,0)</f>
        <v>סלעים איתנים</v>
      </c>
    </row>
    <row r="915" spans="1:3" ht="12.75">
      <c r="A915" s="83">
        <v>580631513</v>
      </c>
      <c r="B915" s="84">
        <v>72159.9</v>
      </c>
      <c r="C915" t="str">
        <f>VLOOKUP(A915,גיליון2!$B$5:$C$1319,2,0)</f>
        <v>עמותה לקידום הכדורסל בית שמש</v>
      </c>
    </row>
    <row r="916" spans="1:3" ht="12.75">
      <c r="A916" s="83">
        <v>580631802</v>
      </c>
      <c r="B916" s="84">
        <v>37155.81</v>
      </c>
      <c r="C916" t="str">
        <f>VLOOKUP(A916,גיליון2!$B$5:$C$1319,2,0)</f>
        <v>מועדון רוגבי הדרים</v>
      </c>
    </row>
    <row r="917" spans="1:3" ht="12.75">
      <c r="A917" s="83">
        <v>580632107</v>
      </c>
      <c r="B917" s="84">
        <v>54366.4</v>
      </c>
      <c r="C917" t="str">
        <f>VLOOKUP(A917,גיליון2!$B$5:$C$1319,2,0)</f>
        <v>עמותה להתעמלות אומנותית אשקלון</v>
      </c>
    </row>
    <row r="918" spans="1:3" ht="12.75">
      <c r="A918" s="83">
        <v>580632495</v>
      </c>
      <c r="B918" s="84">
        <v>19666.94</v>
      </c>
      <c r="C918" t="e">
        <f>VLOOKUP(A918,גיליון2!$B$5:$C$1319,2,0)</f>
        <v>#N/A</v>
      </c>
    </row>
    <row r="919" spans="1:3" ht="12.75">
      <c r="A919" s="83">
        <v>580632503</v>
      </c>
      <c r="B919" s="84">
        <v>30649.46</v>
      </c>
      <c r="C919" t="e">
        <f>VLOOKUP(A919,גיליון2!$B$5:$C$1319,2,0)</f>
        <v>#N/A</v>
      </c>
    </row>
    <row r="920" spans="1:3" ht="12.75">
      <c r="A920" s="83">
        <v>580632594</v>
      </c>
      <c r="B920" s="84">
        <v>102995.91</v>
      </c>
      <c r="C920" t="str">
        <f>VLOOKUP(A920,גיליון2!$B$5:$C$1319,2,0)</f>
        <v>מועדון ספורט בית שאן</v>
      </c>
    </row>
    <row r="921" spans="1:3" ht="12.75">
      <c r="A921" s="83">
        <v>580632974</v>
      </c>
      <c r="B921" s="84">
        <v>30348.84</v>
      </c>
      <c r="C921" t="e">
        <f>VLOOKUP(A921,גיליון2!$B$5:$C$1319,2,0)</f>
        <v>#N/A</v>
      </c>
    </row>
    <row r="922" spans="1:3" ht="12.75">
      <c r="A922" s="83">
        <v>580634335</v>
      </c>
      <c r="B922" s="84">
        <v>71224.29</v>
      </c>
      <c r="C922" t="str">
        <f>VLOOKUP(A922,גיליון2!$B$5:$C$1319,2,0)</f>
        <v>כוכבי קלאסיקו כדורגל</v>
      </c>
    </row>
    <row r="923" spans="1:3" ht="12.75">
      <c r="A923" s="83">
        <v>580635027</v>
      </c>
      <c r="B923" s="84">
        <v>71049.72</v>
      </c>
      <c r="C923" t="str">
        <f>VLOOKUP(A923,גיליון2!$B$5:$C$1319,2,0)</f>
        <v>נוער כבביר לדו קיום</v>
      </c>
    </row>
    <row r="924" spans="1:3" ht="12.75">
      <c r="A924" s="83">
        <v>580635498</v>
      </c>
      <c r="B924" s="84">
        <v>9980.09</v>
      </c>
      <c r="C924" t="e">
        <f>VLOOKUP(A924,גיליון2!$B$5:$C$1319,2,0)</f>
        <v>#N/A</v>
      </c>
    </row>
    <row r="925" spans="1:3" ht="12.75">
      <c r="A925" s="83">
        <v>580636264</v>
      </c>
      <c r="B925" s="84">
        <v>21220</v>
      </c>
      <c r="C925" t="str">
        <f>VLOOKUP(A925,גיליון2!$B$5:$C$1319,2,0)</f>
        <v>מועדון טיפוס ספורטיבי הישגי ירושלים</v>
      </c>
    </row>
    <row r="926" spans="1:3" ht="12.75">
      <c r="A926" s="83">
        <v>580636819</v>
      </c>
      <c r="B926" s="84">
        <v>22452.54</v>
      </c>
      <c r="C926" t="str">
        <f>VLOOKUP(A926,גיליון2!$B$5:$C$1319,2,0)</f>
        <v>העמותה לקידום הספורט והפנאי בישראל אריאל</v>
      </c>
    </row>
    <row r="927" spans="1:3" ht="12.75">
      <c r="A927" s="83">
        <v>580637601</v>
      </c>
      <c r="B927" s="84">
        <v>57180.76</v>
      </c>
      <c r="C927" t="str">
        <f>VLOOKUP(A927,גיליון2!$B$5:$C$1319,2,0)</f>
        <v>עמותת רוגבי ינשופי רחובות</v>
      </c>
    </row>
    <row r="928" spans="1:3" ht="12.75">
      <c r="A928" s="83">
        <v>580638096</v>
      </c>
      <c r="B928" s="84">
        <v>83741.12</v>
      </c>
      <c r="C928" t="str">
        <f>VLOOKUP(A928,גיליון2!$B$5:$C$1319,2,0)</f>
        <v>בני קדימה צורן</v>
      </c>
    </row>
    <row r="929" spans="1:3" ht="12.75">
      <c r="A929" s="83">
        <v>580638898</v>
      </c>
      <c r="B929" s="84">
        <v>10677.82</v>
      </c>
      <c r="C929" t="str">
        <f>VLOOKUP(A929,גיליון2!$B$5:$C$1319,2,0)</f>
        <v>מועדון שחמט גני תקווה</v>
      </c>
    </row>
    <row r="930" spans="1:3" ht="12.75">
      <c r="A930" s="83">
        <v>580639656</v>
      </c>
      <c r="B930" s="84">
        <v>16953.65</v>
      </c>
      <c r="C930" t="str">
        <f>VLOOKUP(A930,גיליון2!$B$5:$C$1319,2,0)</f>
        <v>מועודן הראשונים לשחיה</v>
      </c>
    </row>
    <row r="931" spans="1:3" ht="12.75">
      <c r="A931" s="83">
        <v>580640084</v>
      </c>
      <c r="B931" s="84">
        <v>16860.46</v>
      </c>
      <c r="C931" t="e">
        <f>VLOOKUP(A931,גיליון2!$B$5:$C$1319,2,0)</f>
        <v>#N/A</v>
      </c>
    </row>
    <row r="932" spans="1:3" ht="12.75">
      <c r="A932" s="83">
        <v>580640266</v>
      </c>
      <c r="B932" s="84">
        <v>21297.46</v>
      </c>
      <c r="C932" t="e">
        <f>VLOOKUP(A932,גיליון2!$B$5:$C$1319,2,0)</f>
        <v>#N/A</v>
      </c>
    </row>
    <row r="933" spans="1:3" ht="12.75">
      <c r="A933" s="83">
        <v>580641140</v>
      </c>
      <c r="B933" s="84">
        <v>21297.46</v>
      </c>
      <c r="C933" t="str">
        <f>VLOOKUP(A933,גיליון2!$B$5:$C$1319,2,0)</f>
        <v>מכבי דרך יבול הבשור</v>
      </c>
    </row>
    <row r="934" spans="1:3" ht="12.75">
      <c r="A934" s="83">
        <v>580641579</v>
      </c>
      <c r="B934" s="84">
        <v>69710.02</v>
      </c>
      <c r="C934" t="str">
        <f>VLOOKUP(A934,גיליון2!$B$5:$C$1319,2,0)</f>
        <v>מועדון ספורט נחל שורק</v>
      </c>
    </row>
    <row r="935" spans="1:3" ht="12.75">
      <c r="A935" s="83">
        <v>580641603</v>
      </c>
      <c r="B935" s="84">
        <v>2712.6</v>
      </c>
      <c r="C935" t="e">
        <f>VLOOKUP(A935,גיליון2!$B$5:$C$1319,2,0)</f>
        <v>#N/A</v>
      </c>
    </row>
    <row r="936" spans="1:3" ht="12.75">
      <c r="A936" s="83">
        <v>580641892</v>
      </c>
      <c r="B936" s="84">
        <v>22452.54</v>
      </c>
      <c r="C936" t="str">
        <f>VLOOKUP(A936,גיליון2!$B$5:$C$1319,2,0)</f>
        <v>העמותה לקידום הכדורעף משחקי הרשת והספורט</v>
      </c>
    </row>
    <row r="937" spans="1:3" ht="12.75">
      <c r="A937" s="83">
        <v>580642106</v>
      </c>
      <c r="B937" s="84">
        <v>64306.71</v>
      </c>
      <c r="C937" t="str">
        <f>VLOOKUP(A937,גיליון2!$B$5:$C$1319,2,0)</f>
        <v>גולדן טניס נתניה</v>
      </c>
    </row>
    <row r="938" spans="1:3" ht="12.75">
      <c r="A938" s="83">
        <v>580643369</v>
      </c>
      <c r="B938" s="84">
        <v>64590.65</v>
      </c>
      <c r="C938" t="e">
        <f>VLOOKUP(A938,גיליון2!$B$5:$C$1319,2,0)</f>
        <v>#N/A</v>
      </c>
    </row>
    <row r="939" spans="1:3" ht="12.75">
      <c r="A939" s="83">
        <v>580644839</v>
      </c>
      <c r="B939" s="84">
        <v>5656.06</v>
      </c>
      <c r="C939" t="e">
        <f>VLOOKUP(A939,גיליון2!$B$5:$C$1319,2,0)</f>
        <v>#N/A</v>
      </c>
    </row>
    <row r="940" spans="1:3" ht="12.75">
      <c r="A940" s="83">
        <v>580645166</v>
      </c>
      <c r="B940" s="84">
        <v>73198.13</v>
      </c>
      <c r="C940" t="str">
        <f>VLOOKUP(A940,גיליון2!$B$5:$C$1319,2,0)</f>
        <v>העמותה לקידום הספורט הדרכיבה ביגור</v>
      </c>
    </row>
    <row r="941" spans="1:3" ht="12.75">
      <c r="A941" s="83">
        <v>580645711</v>
      </c>
      <c r="B941" s="84">
        <v>115032.68</v>
      </c>
      <c r="C941" t="e">
        <f>VLOOKUP(A941,גיליון2!$B$5:$C$1319,2,0)</f>
        <v>#N/A</v>
      </c>
    </row>
    <row r="942" spans="1:3" ht="12.75">
      <c r="A942" s="83">
        <v>580646602</v>
      </c>
      <c r="B942" s="84">
        <v>14289</v>
      </c>
      <c r="C942" t="e">
        <f>VLOOKUP(A942,גיליון2!$B$5:$C$1319,2,0)</f>
        <v>#N/A</v>
      </c>
    </row>
    <row r="943" spans="1:3" ht="12.75">
      <c r="A943" s="83">
        <v>580647774</v>
      </c>
      <c r="B943" s="84">
        <v>8396.97</v>
      </c>
      <c r="C943" t="e">
        <f>VLOOKUP(A943,גיליון2!$B$5:$C$1319,2,0)</f>
        <v>#N/A</v>
      </c>
    </row>
    <row r="944" spans="1:3" ht="12.75">
      <c r="A944" s="83">
        <v>580648889</v>
      </c>
      <c r="B944" s="84">
        <v>65701.14</v>
      </c>
      <c r="C944" t="e">
        <f>VLOOKUP(A944,גיליון2!$B$5:$C$1319,2,0)</f>
        <v>#N/A</v>
      </c>
    </row>
    <row r="945" spans="1:3" ht="12.75">
      <c r="A945" s="83">
        <v>580649291</v>
      </c>
      <c r="B945" s="84">
        <v>44965.5</v>
      </c>
      <c r="C945" t="str">
        <f>VLOOKUP(A945,גיליון2!$B$5:$C$1319,2,0)</f>
        <v>ספורטאי המחר הזורח</v>
      </c>
    </row>
    <row r="946" spans="1:3" ht="12.75">
      <c r="A946" s="83">
        <v>580649358</v>
      </c>
      <c r="B946" s="84">
        <v>74148.18</v>
      </c>
      <c r="C946" t="str">
        <f>VLOOKUP(A946,גיליון2!$B$5:$C$1319,2,0)</f>
        <v>אלסנדרה לקידום החינוך, התרבות והספורט</v>
      </c>
    </row>
    <row r="947" spans="1:3" ht="12.75">
      <c r="A947" s="83">
        <v>580650935</v>
      </c>
      <c r="B947" s="84">
        <v>21297.46</v>
      </c>
      <c r="C947" t="e">
        <f>VLOOKUP(A947,גיליון2!$B$5:$C$1319,2,0)</f>
        <v>#N/A</v>
      </c>
    </row>
    <row r="948" spans="1:3" ht="12.75">
      <c r="A948" s="83">
        <v>580651925</v>
      </c>
      <c r="B948" s="84">
        <v>47164.61</v>
      </c>
      <c r="C948" t="str">
        <f>VLOOKUP(A948,גיליון2!$B$5:$C$1319,2,0)</f>
        <v>מכבי רעננה כדוריד</v>
      </c>
    </row>
    <row r="949" spans="1:3" ht="12.75">
      <c r="A949" s="83">
        <v>580652600</v>
      </c>
      <c r="B949" s="84">
        <v>13725.71</v>
      </c>
      <c r="C949" t="str">
        <f>VLOOKUP(A949,גיליון2!$B$5:$C$1319,2,0)</f>
        <v>מועדון ספורט עצמה כרמיאל</v>
      </c>
    </row>
    <row r="950" spans="1:3" ht="12.75">
      <c r="A950" s="83">
        <v>580653376</v>
      </c>
      <c r="B950" s="84">
        <v>10821.44</v>
      </c>
      <c r="C950" t="e">
        <f>VLOOKUP(A950,גיליון2!$B$5:$C$1319,2,0)</f>
        <v>#N/A</v>
      </c>
    </row>
    <row r="951" spans="1:3" ht="12.75">
      <c r="A951" s="83">
        <v>580653756</v>
      </c>
      <c r="B951" s="84">
        <v>36998.51</v>
      </c>
      <c r="C951" t="e">
        <f>VLOOKUP(A951,גיליון2!$B$5:$C$1319,2,0)</f>
        <v>#N/A</v>
      </c>
    </row>
    <row r="952" spans="1:3" ht="12.75">
      <c r="A952" s="83">
        <v>580654465</v>
      </c>
      <c r="B952" s="84">
        <v>61246.82</v>
      </c>
      <c r="C952" t="str">
        <f>VLOOKUP(A952,גיליון2!$B$5:$C$1319,2,0)</f>
        <v>ע.ר.כ - עין רעננה כדורסל</v>
      </c>
    </row>
    <row r="953" spans="1:3" ht="12.75">
      <c r="A953" s="83">
        <v>580655447</v>
      </c>
      <c r="B953" s="84">
        <v>2959.55</v>
      </c>
      <c r="C953" t="e">
        <f>VLOOKUP(A953,גיליון2!$B$5:$C$1319,2,0)</f>
        <v>#N/A</v>
      </c>
    </row>
    <row r="954" spans="1:3" ht="12.75">
      <c r="A954" s="83">
        <v>580659456</v>
      </c>
      <c r="B954" s="84">
        <v>104741.59</v>
      </c>
      <c r="C954" t="str">
        <f>VLOOKUP(A954,גיליון2!$B$5:$C$1319,2,0)</f>
        <v>כדורגל נשים רעננה</v>
      </c>
    </row>
    <row r="955" spans="1:3" ht="12.75">
      <c r="A955" s="83">
        <v>580660108</v>
      </c>
      <c r="B955" s="84">
        <v>63368.67</v>
      </c>
      <c r="C955" t="e">
        <f>VLOOKUP(A955,גיליון2!$B$5:$C$1319,2,0)</f>
        <v>#N/A</v>
      </c>
    </row>
    <row r="956" spans="1:3" ht="12.75">
      <c r="A956" s="83">
        <v>580661676</v>
      </c>
      <c r="B956" s="84">
        <v>11630.28</v>
      </c>
      <c r="C956" t="e">
        <f>VLOOKUP(A956,גיליון2!$B$5:$C$1319,2,0)</f>
        <v>#N/A</v>
      </c>
    </row>
    <row r="957" spans="1:3" ht="12.75">
      <c r="A957" s="83">
        <v>580664654</v>
      </c>
      <c r="B957" s="84">
        <v>40088.83</v>
      </c>
      <c r="C957" t="e">
        <f>VLOOKUP(A957,גיליון2!$B$5:$C$1319,2,0)</f>
        <v>#N/A</v>
      </c>
    </row>
    <row r="958" spans="1:3" ht="12.75">
      <c r="A958" s="83">
        <v>580664837</v>
      </c>
      <c r="B958" s="84">
        <v>24447.2</v>
      </c>
      <c r="C958" t="e">
        <f>VLOOKUP(A958,גיליון2!$B$5:$C$1319,2,0)</f>
        <v>#N/A</v>
      </c>
    </row>
    <row r="959" spans="1:3" ht="12.75">
      <c r="A959" s="83">
        <v>580665933</v>
      </c>
      <c r="B959" s="84">
        <v>21220</v>
      </c>
      <c r="C959" t="e">
        <f>VLOOKUP(A959,גיליון2!$B$5:$C$1319,2,0)</f>
        <v>#N/A</v>
      </c>
    </row>
    <row r="960" spans="1:3" ht="12.75">
      <c r="A960" s="83">
        <v>580666113</v>
      </c>
      <c r="B960" s="84">
        <v>9560.81</v>
      </c>
      <c r="C960" t="e">
        <f>VLOOKUP(A960,גיליון2!$B$5:$C$1319,2,0)</f>
        <v>#N/A</v>
      </c>
    </row>
    <row r="961" spans="1:3" ht="12.75">
      <c r="A961" s="83">
        <v>580666352</v>
      </c>
      <c r="B961" s="84">
        <v>24447.2</v>
      </c>
      <c r="C961" t="str">
        <f>VLOOKUP(A961,גיליון2!$B$5:$C$1319,2,0)</f>
        <v>פוטבול אמריקאי קרית אונו וולבס</v>
      </c>
    </row>
    <row r="962" spans="1:3" ht="12.75">
      <c r="A962" s="83">
        <v>580667665</v>
      </c>
      <c r="B962" s="84">
        <v>9335.2</v>
      </c>
      <c r="C962" t="e">
        <f>VLOOKUP(A962,גיליון2!$B$5:$C$1319,2,0)</f>
        <v>#N/A</v>
      </c>
    </row>
    <row r="963" spans="1:3" ht="12.75">
      <c r="A963" s="83">
        <v>580667707</v>
      </c>
      <c r="B963" s="84">
        <v>5259.79</v>
      </c>
      <c r="C963" t="e">
        <f>VLOOKUP(A963,גיליון2!$B$5:$C$1319,2,0)</f>
        <v>#N/A</v>
      </c>
    </row>
    <row r="964" spans="1:3" ht="12.75">
      <c r="A964" s="83">
        <v>580669257</v>
      </c>
      <c r="B964" s="84">
        <v>4329.77</v>
      </c>
      <c r="C964" t="e">
        <f>VLOOKUP(A964,גיליון2!$B$5:$C$1319,2,0)</f>
        <v>#N/A</v>
      </c>
    </row>
    <row r="965" spans="1:3" ht="12.75">
      <c r="A965" s="83">
        <v>580670412</v>
      </c>
      <c r="B965" s="84">
        <v>9111.16</v>
      </c>
      <c r="C965" t="e">
        <f>VLOOKUP(A965,גיליון2!$B$5:$C$1319,2,0)</f>
        <v>#N/A</v>
      </c>
    </row>
    <row r="966" spans="1:3" ht="12.75">
      <c r="A966" s="83">
        <v>580671311</v>
      </c>
      <c r="B966" s="84">
        <v>4167.24</v>
      </c>
      <c r="C966" t="e">
        <f>VLOOKUP(A966,גיליון2!$B$5:$C$1319,2,0)</f>
        <v>#N/A</v>
      </c>
    </row>
    <row r="967" spans="1:3" ht="12.75">
      <c r="A967" s="83">
        <v>580675528</v>
      </c>
      <c r="B967" s="84">
        <v>11659.19</v>
      </c>
      <c r="C967" t="e">
        <f>VLOOKUP(A967,גיליון2!$B$5:$C$1319,2,0)</f>
        <v>#N/A</v>
      </c>
    </row>
    <row r="968" spans="1:3" ht="12.75">
      <c r="A968" s="83">
        <v>580676138</v>
      </c>
      <c r="B968" s="84">
        <v>2794.79</v>
      </c>
      <c r="C968" t="e">
        <f>VLOOKUP(A968,גיליון2!$B$5:$C$1319,2,0)</f>
        <v>#N/A</v>
      </c>
    </row>
    <row r="969" spans="1:3" ht="12.75">
      <c r="A969" s="83">
        <v>580676583</v>
      </c>
      <c r="B969" s="84">
        <v>13585.66</v>
      </c>
      <c r="C969" t="e">
        <f>VLOOKUP(A969,גיליון2!$B$5:$C$1319,2,0)</f>
        <v>#N/A</v>
      </c>
    </row>
    <row r="970" spans="1:3" ht="12.75">
      <c r="A970" s="83">
        <v>580677243</v>
      </c>
      <c r="B970" s="84">
        <v>21220</v>
      </c>
      <c r="C970" t="e">
        <f>VLOOKUP(A970,גיליון2!$B$5:$C$1319,2,0)</f>
        <v>#N/A</v>
      </c>
    </row>
    <row r="971" spans="1:3" ht="12.75">
      <c r="A971" s="83">
        <v>580677896</v>
      </c>
      <c r="B971" s="84">
        <v>2504.66</v>
      </c>
      <c r="C971" t="e">
        <f>VLOOKUP(A971,גיליון2!$B$5:$C$1319,2,0)</f>
        <v>#N/A</v>
      </c>
    </row>
    <row r="972" spans="1:3" ht="12.75">
      <c r="A972" s="83">
        <v>580687143</v>
      </c>
      <c r="B972" s="84">
        <v>36241.6</v>
      </c>
      <c r="C972" t="e">
        <f>VLOOKUP(A972,גיליון2!$B$5:$C$1319,2,0)</f>
        <v>#N/A</v>
      </c>
    </row>
    <row r="973" spans="1:3" ht="12.75">
      <c r="A973" s="83">
        <v>581052728</v>
      </c>
      <c r="B973" s="84">
        <v>35557</v>
      </c>
      <c r="C973" t="e">
        <f>VLOOKUP(A973,גיליון2!$B$5:$C$1319,2,0)</f>
        <v>#N/A</v>
      </c>
    </row>
  </sheetData>
  <sheetProtection/>
  <autoFilter ref="A2:C973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O431"/>
  <sheetViews>
    <sheetView rightToLeft="1" zoomScalePageLayoutView="0" workbookViewId="0" topLeftCell="A1">
      <selection activeCell="M13" sqref="M13:O124"/>
    </sheetView>
  </sheetViews>
  <sheetFormatPr defaultColWidth="9.140625" defaultRowHeight="12.75"/>
  <cols>
    <col min="2" max="2" width="10.00390625" style="0" bestFit="1" customWidth="1"/>
    <col min="3" max="3" width="25.421875" style="0" bestFit="1" customWidth="1"/>
    <col min="8" max="8" width="10.00390625" style="0" bestFit="1" customWidth="1"/>
    <col min="9" max="9" width="36.28125" style="0" customWidth="1"/>
    <col min="10" max="10" width="10.28125" style="0" bestFit="1" customWidth="1"/>
    <col min="14" max="14" width="10.00390625" style="0" bestFit="1" customWidth="1"/>
  </cols>
  <sheetData>
    <row r="2" spans="2:3" ht="12.75">
      <c r="B2" s="243" t="s">
        <v>810</v>
      </c>
      <c r="C2" s="243"/>
    </row>
    <row r="3" spans="2:3" ht="12.75">
      <c r="B3">
        <v>580007615</v>
      </c>
      <c r="C3" t="s">
        <v>492</v>
      </c>
    </row>
    <row r="4" spans="2:3" ht="12.75">
      <c r="B4">
        <v>580160513</v>
      </c>
      <c r="C4" t="s">
        <v>495</v>
      </c>
    </row>
    <row r="5" spans="2:3" ht="12.75">
      <c r="B5">
        <v>580170108</v>
      </c>
      <c r="C5" t="s">
        <v>497</v>
      </c>
    </row>
    <row r="6" spans="2:3" ht="12.75">
      <c r="B6">
        <v>580246957</v>
      </c>
      <c r="C6" t="s">
        <v>684</v>
      </c>
    </row>
    <row r="7" spans="2:3" ht="12.75">
      <c r="B7">
        <v>580281863</v>
      </c>
      <c r="C7" t="s">
        <v>748</v>
      </c>
    </row>
    <row r="8" spans="2:3" ht="12.75">
      <c r="B8">
        <v>580288405</v>
      </c>
      <c r="C8" t="s">
        <v>123</v>
      </c>
    </row>
    <row r="9" spans="2:3" ht="12.75">
      <c r="B9">
        <v>580421972</v>
      </c>
      <c r="C9" t="s">
        <v>289</v>
      </c>
    </row>
    <row r="10" spans="2:3" ht="12.75">
      <c r="B10">
        <v>580446490</v>
      </c>
      <c r="C10" t="s">
        <v>638</v>
      </c>
    </row>
    <row r="11" spans="2:3" ht="12.75">
      <c r="B11">
        <v>580466050</v>
      </c>
      <c r="C11" t="s">
        <v>665</v>
      </c>
    </row>
    <row r="12" spans="2:3" ht="12.75">
      <c r="B12">
        <v>580579258</v>
      </c>
      <c r="C12" t="s">
        <v>305</v>
      </c>
    </row>
    <row r="13" ht="12.75">
      <c r="M13" s="67" t="s">
        <v>1044</v>
      </c>
    </row>
    <row r="14" spans="2:15" ht="25.5">
      <c r="B14" s="243" t="s">
        <v>811</v>
      </c>
      <c r="C14" s="243"/>
      <c r="H14" s="83" t="s">
        <v>812</v>
      </c>
      <c r="I14" s="83" t="s">
        <v>47</v>
      </c>
      <c r="J14" t="s">
        <v>910</v>
      </c>
      <c r="M14" s="83" t="s">
        <v>47</v>
      </c>
      <c r="N14" s="83" t="s">
        <v>25</v>
      </c>
      <c r="O14" s="67" t="s">
        <v>1045</v>
      </c>
    </row>
    <row r="15" spans="2:15" ht="51">
      <c r="B15">
        <v>500244272</v>
      </c>
      <c r="C15">
        <v>36079.95</v>
      </c>
      <c r="H15" s="83">
        <v>510978422</v>
      </c>
      <c r="I15" s="83" t="s">
        <v>813</v>
      </c>
      <c r="J15">
        <f>VLOOKUP(H15,$B$15:$C$290,2,0)</f>
        <v>35557</v>
      </c>
      <c r="M15" s="83" t="s">
        <v>916</v>
      </c>
      <c r="N15" s="83">
        <v>580023679</v>
      </c>
      <c r="O15">
        <f aca="true" t="shared" si="0" ref="O15:O46">VLOOKUP(N15,$B$15:$C$1700,2,0)</f>
        <v>1387.6</v>
      </c>
    </row>
    <row r="16" spans="2:15" ht="51">
      <c r="B16">
        <v>510623721</v>
      </c>
      <c r="C16">
        <v>8781.8</v>
      </c>
      <c r="H16" s="83">
        <v>511653354</v>
      </c>
      <c r="I16" s="83" t="s">
        <v>814</v>
      </c>
      <c r="J16">
        <f aca="true" t="shared" si="1" ref="J16:J79">VLOOKUP(H16,$B$15:$C$290,2,0)</f>
        <v>180504.71</v>
      </c>
      <c r="M16" s="83" t="s">
        <v>915</v>
      </c>
      <c r="N16" s="83">
        <v>580007656</v>
      </c>
      <c r="O16">
        <f t="shared" si="0"/>
        <v>2299.8</v>
      </c>
    </row>
    <row r="17" spans="2:15" ht="25.5">
      <c r="B17">
        <v>510623812</v>
      </c>
      <c r="C17">
        <v>71224.29</v>
      </c>
      <c r="H17" s="83">
        <v>513698134</v>
      </c>
      <c r="I17" s="83" t="s">
        <v>815</v>
      </c>
      <c r="J17">
        <f t="shared" si="1"/>
        <v>217513.4</v>
      </c>
      <c r="M17" s="83" t="s">
        <v>924</v>
      </c>
      <c r="N17" s="83">
        <v>580082568</v>
      </c>
      <c r="O17">
        <f t="shared" si="0"/>
        <v>2299.8</v>
      </c>
    </row>
    <row r="18" spans="2:15" ht="25.5">
      <c r="B18">
        <v>510681968</v>
      </c>
      <c r="C18">
        <v>67573.87</v>
      </c>
      <c r="H18" s="83">
        <v>580017457</v>
      </c>
      <c r="I18" s="83" t="s">
        <v>816</v>
      </c>
      <c r="J18">
        <f t="shared" si="1"/>
        <v>16215.2</v>
      </c>
      <c r="M18" s="83" t="s">
        <v>925</v>
      </c>
      <c r="N18" s="83">
        <v>580082576</v>
      </c>
      <c r="O18">
        <f t="shared" si="0"/>
        <v>2299.8</v>
      </c>
    </row>
    <row r="19" spans="2:15" ht="51">
      <c r="B19">
        <v>510685589</v>
      </c>
      <c r="C19">
        <v>13878.63</v>
      </c>
      <c r="H19" s="83">
        <v>580060937</v>
      </c>
      <c r="I19" s="83" t="s">
        <v>817</v>
      </c>
      <c r="J19" t="e">
        <f t="shared" si="1"/>
        <v>#N/A</v>
      </c>
      <c r="M19" s="83" t="s">
        <v>1008</v>
      </c>
      <c r="N19" s="83">
        <v>580580181</v>
      </c>
      <c r="O19">
        <f t="shared" si="0"/>
        <v>2737.84</v>
      </c>
    </row>
    <row r="20" spans="2:15" ht="76.5">
      <c r="B20">
        <v>510823057</v>
      </c>
      <c r="C20">
        <v>8781.8</v>
      </c>
      <c r="H20" s="83">
        <v>580080570</v>
      </c>
      <c r="I20" s="83" t="s">
        <v>818</v>
      </c>
      <c r="J20" t="e">
        <f t="shared" si="1"/>
        <v>#N/A</v>
      </c>
      <c r="M20" s="83" t="s">
        <v>989</v>
      </c>
      <c r="N20" s="83">
        <v>580521847</v>
      </c>
      <c r="O20">
        <f t="shared" si="0"/>
        <v>3029.26</v>
      </c>
    </row>
    <row r="21" spans="2:15" ht="63.75">
      <c r="B21">
        <v>510978422</v>
      </c>
      <c r="C21">
        <v>35557</v>
      </c>
      <c r="H21" s="83">
        <v>580087625</v>
      </c>
      <c r="I21" s="83" t="s">
        <v>819</v>
      </c>
      <c r="J21">
        <f t="shared" si="1"/>
        <v>17959.8</v>
      </c>
      <c r="M21" s="83" t="s">
        <v>937</v>
      </c>
      <c r="N21" s="83">
        <v>580253532</v>
      </c>
      <c r="O21">
        <f t="shared" si="0"/>
        <v>4236.78</v>
      </c>
    </row>
    <row r="22" spans="2:15" ht="38.25">
      <c r="B22">
        <v>511653354</v>
      </c>
      <c r="C22">
        <v>180504.71</v>
      </c>
      <c r="H22" s="83">
        <v>580139566</v>
      </c>
      <c r="I22" s="83" t="s">
        <v>820</v>
      </c>
      <c r="J22">
        <f t="shared" si="1"/>
        <v>2946.87</v>
      </c>
      <c r="M22" s="83" t="s">
        <v>918</v>
      </c>
      <c r="N22" s="83">
        <v>580036515</v>
      </c>
      <c r="O22">
        <f t="shared" si="0"/>
        <v>4353.45</v>
      </c>
    </row>
    <row r="23" spans="2:15" ht="63.75">
      <c r="B23">
        <v>511889867</v>
      </c>
      <c r="C23">
        <v>6539.77</v>
      </c>
      <c r="H23" s="83">
        <v>580163491</v>
      </c>
      <c r="I23" s="83" t="s">
        <v>821</v>
      </c>
      <c r="J23" t="e">
        <f t="shared" si="1"/>
        <v>#N/A</v>
      </c>
      <c r="M23" s="83" t="s">
        <v>914</v>
      </c>
      <c r="N23" s="83">
        <v>514918143</v>
      </c>
      <c r="O23">
        <f t="shared" si="0"/>
        <v>4901.33</v>
      </c>
    </row>
    <row r="24" spans="2:15" ht="38.25">
      <c r="B24">
        <v>512390188</v>
      </c>
      <c r="C24">
        <v>3365.69</v>
      </c>
      <c r="H24" s="83">
        <v>580168136</v>
      </c>
      <c r="I24" s="83" t="s">
        <v>822</v>
      </c>
      <c r="J24">
        <f t="shared" si="1"/>
        <v>36871.23</v>
      </c>
      <c r="M24" s="83" t="s">
        <v>930</v>
      </c>
      <c r="N24" s="83">
        <v>580195626</v>
      </c>
      <c r="O24">
        <f t="shared" si="0"/>
        <v>5079.02</v>
      </c>
    </row>
    <row r="25" spans="2:15" ht="38.25">
      <c r="B25">
        <v>513698134</v>
      </c>
      <c r="C25">
        <v>217513.4</v>
      </c>
      <c r="H25" s="83">
        <v>580169969</v>
      </c>
      <c r="I25" s="83" t="s">
        <v>823</v>
      </c>
      <c r="J25" t="e">
        <f t="shared" si="1"/>
        <v>#N/A</v>
      </c>
      <c r="M25" s="83" t="s">
        <v>1021</v>
      </c>
      <c r="N25" s="83">
        <v>580609105</v>
      </c>
      <c r="O25">
        <f t="shared" si="0"/>
        <v>5214.05</v>
      </c>
    </row>
    <row r="26" spans="2:15" ht="89.25">
      <c r="B26">
        <v>513927541</v>
      </c>
      <c r="C26">
        <v>3567.57</v>
      </c>
      <c r="H26" s="83">
        <v>580234581</v>
      </c>
      <c r="I26" s="83" t="s">
        <v>824</v>
      </c>
      <c r="J26">
        <f t="shared" si="1"/>
        <v>37970.73</v>
      </c>
      <c r="M26" s="83" t="s">
        <v>981</v>
      </c>
      <c r="N26" s="83">
        <v>580474062</v>
      </c>
      <c r="O26">
        <f t="shared" si="0"/>
        <v>5367.49</v>
      </c>
    </row>
    <row r="27" spans="2:15" ht="51">
      <c r="B27">
        <v>514904606</v>
      </c>
      <c r="C27">
        <v>5872.77</v>
      </c>
      <c r="H27" s="83">
        <v>580241610</v>
      </c>
      <c r="I27" s="83" t="s">
        <v>825</v>
      </c>
      <c r="J27">
        <f t="shared" si="1"/>
        <v>65638.08</v>
      </c>
      <c r="M27" s="83" t="s">
        <v>919</v>
      </c>
      <c r="N27" s="83">
        <v>580040376</v>
      </c>
      <c r="O27">
        <f t="shared" si="0"/>
        <v>5713.78</v>
      </c>
    </row>
    <row r="28" spans="2:15" ht="38.25">
      <c r="B28">
        <v>514918143</v>
      </c>
      <c r="C28">
        <v>4901.33</v>
      </c>
      <c r="H28" s="83">
        <v>580249936</v>
      </c>
      <c r="I28" s="83" t="s">
        <v>826</v>
      </c>
      <c r="J28" t="e">
        <f t="shared" si="1"/>
        <v>#N/A</v>
      </c>
      <c r="M28" s="83" t="s">
        <v>1015</v>
      </c>
      <c r="N28" s="83">
        <v>580600328</v>
      </c>
      <c r="O28">
        <f t="shared" si="0"/>
        <v>6431.59</v>
      </c>
    </row>
    <row r="29" spans="2:15" ht="51">
      <c r="B29">
        <v>514918705</v>
      </c>
      <c r="C29">
        <v>14304.12</v>
      </c>
      <c r="H29" s="83">
        <v>580274629</v>
      </c>
      <c r="I29" s="83" t="s">
        <v>827</v>
      </c>
      <c r="J29">
        <f t="shared" si="1"/>
        <v>169402.34</v>
      </c>
      <c r="M29" s="83" t="s">
        <v>933</v>
      </c>
      <c r="N29" s="83">
        <v>580223543</v>
      </c>
      <c r="O29">
        <f t="shared" si="0"/>
        <v>7016.85</v>
      </c>
    </row>
    <row r="30" spans="2:15" ht="51">
      <c r="B30">
        <v>515007300</v>
      </c>
      <c r="C30">
        <v>10045.69</v>
      </c>
      <c r="H30" s="83">
        <v>580278299</v>
      </c>
      <c r="I30" s="83" t="s">
        <v>828</v>
      </c>
      <c r="J30" t="e">
        <f t="shared" si="1"/>
        <v>#N/A</v>
      </c>
      <c r="M30" s="83" t="s">
        <v>1016</v>
      </c>
      <c r="N30" s="83">
        <v>580600583</v>
      </c>
      <c r="O30">
        <f t="shared" si="0"/>
        <v>7057.43</v>
      </c>
    </row>
    <row r="31" spans="2:15" ht="38.25">
      <c r="B31">
        <v>515116705</v>
      </c>
      <c r="C31">
        <v>50450.54</v>
      </c>
      <c r="H31" s="83">
        <v>580290948</v>
      </c>
      <c r="I31" s="83" t="s">
        <v>829</v>
      </c>
      <c r="J31">
        <f t="shared" si="1"/>
        <v>191677.13</v>
      </c>
      <c r="M31" s="83" t="s">
        <v>1022</v>
      </c>
      <c r="N31" s="83">
        <v>580610210</v>
      </c>
      <c r="O31">
        <f t="shared" si="0"/>
        <v>7912.32</v>
      </c>
    </row>
    <row r="32" spans="2:15" ht="25.5">
      <c r="B32">
        <v>515560381</v>
      </c>
      <c r="C32">
        <v>11795.79</v>
      </c>
      <c r="H32" s="83">
        <v>580302354</v>
      </c>
      <c r="I32" s="83" t="s">
        <v>830</v>
      </c>
      <c r="J32" t="e">
        <f t="shared" si="1"/>
        <v>#N/A</v>
      </c>
      <c r="M32" s="83" t="s">
        <v>1024</v>
      </c>
      <c r="N32" s="83">
        <v>580616118</v>
      </c>
      <c r="O32">
        <f t="shared" si="0"/>
        <v>9505.38</v>
      </c>
    </row>
    <row r="33" spans="2:15" ht="76.5">
      <c r="B33">
        <v>570021881</v>
      </c>
      <c r="C33">
        <v>24387.37</v>
      </c>
      <c r="H33" s="83">
        <v>580322741</v>
      </c>
      <c r="I33" s="83" t="s">
        <v>831</v>
      </c>
      <c r="J33">
        <f t="shared" si="1"/>
        <v>11725.04</v>
      </c>
      <c r="M33" s="83" t="s">
        <v>931</v>
      </c>
      <c r="N33" s="83">
        <v>580205383</v>
      </c>
      <c r="O33">
        <f t="shared" si="0"/>
        <v>10346.59</v>
      </c>
    </row>
    <row r="34" spans="2:15" ht="38.25">
      <c r="B34">
        <v>580005601</v>
      </c>
      <c r="C34">
        <v>27407.39</v>
      </c>
      <c r="H34" s="83">
        <v>580353431</v>
      </c>
      <c r="I34" s="83" t="s">
        <v>832</v>
      </c>
      <c r="J34">
        <f t="shared" si="1"/>
        <v>34520.94</v>
      </c>
      <c r="M34" s="83" t="s">
        <v>1035</v>
      </c>
      <c r="N34" s="83">
        <v>580638898</v>
      </c>
      <c r="O34">
        <f t="shared" si="0"/>
        <v>10677.82</v>
      </c>
    </row>
    <row r="35" spans="2:15" ht="51">
      <c r="B35">
        <v>580005924</v>
      </c>
      <c r="C35">
        <v>14289</v>
      </c>
      <c r="H35" s="83">
        <v>580367167</v>
      </c>
      <c r="I35" s="83" t="s">
        <v>833</v>
      </c>
      <c r="J35">
        <f t="shared" si="1"/>
        <v>58081.91</v>
      </c>
      <c r="M35" s="83" t="s">
        <v>1028</v>
      </c>
      <c r="N35" s="83">
        <v>580625739</v>
      </c>
      <c r="O35">
        <f t="shared" si="0"/>
        <v>10899.97</v>
      </c>
    </row>
    <row r="36" spans="2:15" ht="76.5">
      <c r="B36">
        <v>580007656</v>
      </c>
      <c r="C36">
        <v>2299.8</v>
      </c>
      <c r="H36" s="83">
        <v>580371037</v>
      </c>
      <c r="I36" s="83" t="s">
        <v>834</v>
      </c>
      <c r="J36">
        <f t="shared" si="1"/>
        <v>18189.07</v>
      </c>
      <c r="M36" s="83" t="s">
        <v>983</v>
      </c>
      <c r="N36" s="83">
        <v>580484236</v>
      </c>
      <c r="O36">
        <f t="shared" si="0"/>
        <v>11173.86</v>
      </c>
    </row>
    <row r="37" spans="2:15" ht="51">
      <c r="B37">
        <v>580008357</v>
      </c>
      <c r="C37">
        <v>22627.24</v>
      </c>
      <c r="H37" s="83">
        <v>580380855</v>
      </c>
      <c r="I37" s="83" t="s">
        <v>835</v>
      </c>
      <c r="J37">
        <f t="shared" si="1"/>
        <v>79254.48</v>
      </c>
      <c r="M37" s="83" t="s">
        <v>945</v>
      </c>
      <c r="N37" s="83">
        <v>580330603</v>
      </c>
      <c r="O37">
        <f t="shared" si="0"/>
        <v>11207.04</v>
      </c>
    </row>
    <row r="38" spans="2:15" ht="25.5">
      <c r="B38">
        <v>580012284</v>
      </c>
      <c r="C38">
        <v>103868.76</v>
      </c>
      <c r="H38" s="83">
        <v>580386639</v>
      </c>
      <c r="I38" s="83" t="s">
        <v>836</v>
      </c>
      <c r="J38">
        <f t="shared" si="1"/>
        <v>3622.07</v>
      </c>
      <c r="M38" s="83" t="s">
        <v>954</v>
      </c>
      <c r="N38" s="83">
        <v>580381440</v>
      </c>
      <c r="O38">
        <f t="shared" si="0"/>
        <v>11585.94</v>
      </c>
    </row>
    <row r="39" spans="2:15" ht="51">
      <c r="B39">
        <v>580013910</v>
      </c>
      <c r="C39">
        <v>17255.49</v>
      </c>
      <c r="H39" s="83">
        <v>580396836</v>
      </c>
      <c r="I39" s="83" t="s">
        <v>837</v>
      </c>
      <c r="J39">
        <f t="shared" si="1"/>
        <v>19982.59</v>
      </c>
      <c r="M39" s="83" t="s">
        <v>1042</v>
      </c>
      <c r="N39" s="83">
        <v>580652600</v>
      </c>
      <c r="O39">
        <f t="shared" si="0"/>
        <v>13725.71</v>
      </c>
    </row>
    <row r="40" spans="2:15" ht="25.5">
      <c r="B40">
        <v>580017457</v>
      </c>
      <c r="C40">
        <v>16215.2</v>
      </c>
      <c r="H40" s="83">
        <v>580398782</v>
      </c>
      <c r="I40" s="83" t="s">
        <v>838</v>
      </c>
      <c r="J40">
        <f t="shared" si="1"/>
        <v>91981.6</v>
      </c>
      <c r="M40" s="83" t="s">
        <v>928</v>
      </c>
      <c r="N40" s="83">
        <v>580112977</v>
      </c>
      <c r="O40">
        <f t="shared" si="0"/>
        <v>13858.74</v>
      </c>
    </row>
    <row r="41" spans="2:15" ht="76.5">
      <c r="B41">
        <v>580023679</v>
      </c>
      <c r="C41">
        <v>1387.6</v>
      </c>
      <c r="H41" s="83">
        <v>580407609</v>
      </c>
      <c r="I41" s="83" t="s">
        <v>839</v>
      </c>
      <c r="J41" t="e">
        <f t="shared" si="1"/>
        <v>#N/A</v>
      </c>
      <c r="M41" s="83" t="s">
        <v>991</v>
      </c>
      <c r="N41" s="83">
        <v>580528214</v>
      </c>
      <c r="O41">
        <f t="shared" si="0"/>
        <v>13922.2</v>
      </c>
    </row>
    <row r="42" spans="2:15" ht="38.25">
      <c r="B42">
        <v>580030542</v>
      </c>
      <c r="C42">
        <v>30069.92</v>
      </c>
      <c r="H42" s="83">
        <v>580407773</v>
      </c>
      <c r="I42" s="83" t="s">
        <v>840</v>
      </c>
      <c r="J42">
        <f t="shared" si="1"/>
        <v>64066.94</v>
      </c>
      <c r="M42" s="83" t="s">
        <v>948</v>
      </c>
      <c r="N42" s="83">
        <v>580348589</v>
      </c>
      <c r="O42">
        <f t="shared" si="0"/>
        <v>14136.43</v>
      </c>
    </row>
    <row r="43" spans="2:15" ht="51">
      <c r="B43">
        <v>580032118</v>
      </c>
      <c r="C43">
        <v>4571.12</v>
      </c>
      <c r="H43" s="83">
        <v>580410264</v>
      </c>
      <c r="I43" s="83" t="s">
        <v>841</v>
      </c>
      <c r="J43" t="e">
        <f t="shared" si="1"/>
        <v>#N/A</v>
      </c>
      <c r="M43" s="83" t="s">
        <v>932</v>
      </c>
      <c r="N43" s="83">
        <v>580219624</v>
      </c>
      <c r="O43">
        <f t="shared" si="0"/>
        <v>14258.07</v>
      </c>
    </row>
    <row r="44" spans="2:15" ht="51">
      <c r="B44">
        <v>580036515</v>
      </c>
      <c r="C44">
        <v>4353.45</v>
      </c>
      <c r="H44" s="83">
        <v>580411973</v>
      </c>
      <c r="I44" s="83" t="s">
        <v>842</v>
      </c>
      <c r="J44">
        <f t="shared" si="1"/>
        <v>14169.96</v>
      </c>
      <c r="M44" s="83" t="s">
        <v>1023</v>
      </c>
      <c r="N44" s="83">
        <v>580612778</v>
      </c>
      <c r="O44">
        <f t="shared" si="0"/>
        <v>15144.67</v>
      </c>
    </row>
    <row r="45" spans="2:15" ht="51">
      <c r="B45">
        <v>580040376</v>
      </c>
      <c r="C45">
        <v>5713.78</v>
      </c>
      <c r="H45" s="83">
        <v>580414803</v>
      </c>
      <c r="I45" s="83" t="s">
        <v>843</v>
      </c>
      <c r="J45">
        <f t="shared" si="1"/>
        <v>69129.45</v>
      </c>
      <c r="M45" s="83" t="s">
        <v>1011</v>
      </c>
      <c r="N45" s="83">
        <v>580585016</v>
      </c>
      <c r="O45">
        <f t="shared" si="0"/>
        <v>15343.81</v>
      </c>
    </row>
    <row r="46" spans="2:15" ht="38.25">
      <c r="B46">
        <v>580040541</v>
      </c>
      <c r="C46">
        <v>3517.76</v>
      </c>
      <c r="H46" s="83">
        <v>580416576</v>
      </c>
      <c r="I46" s="83" t="s">
        <v>844</v>
      </c>
      <c r="J46" t="e">
        <f t="shared" si="1"/>
        <v>#N/A</v>
      </c>
      <c r="M46" s="83" t="s">
        <v>1036</v>
      </c>
      <c r="N46" s="83">
        <v>580639656</v>
      </c>
      <c r="O46">
        <f t="shared" si="0"/>
        <v>16953.65</v>
      </c>
    </row>
    <row r="47" spans="2:15" ht="38.25">
      <c r="B47">
        <v>580050789</v>
      </c>
      <c r="C47">
        <v>58574.24</v>
      </c>
      <c r="H47" s="83">
        <v>580419307</v>
      </c>
      <c r="I47" s="83" t="s">
        <v>845</v>
      </c>
      <c r="J47">
        <f t="shared" si="1"/>
        <v>58323.24</v>
      </c>
      <c r="M47" s="83" t="s">
        <v>1030</v>
      </c>
      <c r="N47" s="83">
        <v>580628659</v>
      </c>
      <c r="O47">
        <f aca="true" t="shared" si="2" ref="O47:O78">VLOOKUP(N47,$B$15:$C$1700,2,0)</f>
        <v>17176.96</v>
      </c>
    </row>
    <row r="48" spans="2:15" ht="12.75">
      <c r="B48">
        <v>580052793</v>
      </c>
      <c r="C48">
        <v>138195.11</v>
      </c>
      <c r="H48" s="83">
        <v>580421329</v>
      </c>
      <c r="I48" s="83" t="s">
        <v>846</v>
      </c>
      <c r="J48" t="e">
        <f t="shared" si="1"/>
        <v>#N/A</v>
      </c>
      <c r="M48" s="83" t="s">
        <v>990</v>
      </c>
      <c r="N48" s="83">
        <v>580527372</v>
      </c>
      <c r="O48">
        <f t="shared" si="2"/>
        <v>17525.71</v>
      </c>
    </row>
    <row r="49" spans="2:15" ht="63.75">
      <c r="B49">
        <v>580055937</v>
      </c>
      <c r="C49">
        <v>213486</v>
      </c>
      <c r="H49" s="83">
        <v>580422897</v>
      </c>
      <c r="I49" s="83" t="s">
        <v>847</v>
      </c>
      <c r="J49" t="e">
        <f t="shared" si="1"/>
        <v>#N/A</v>
      </c>
      <c r="M49" s="83" t="s">
        <v>951</v>
      </c>
      <c r="N49" s="83">
        <v>580369015</v>
      </c>
      <c r="O49">
        <f t="shared" si="2"/>
        <v>17579.66</v>
      </c>
    </row>
    <row r="50" spans="2:15" ht="12.75">
      <c r="B50">
        <v>580082568</v>
      </c>
      <c r="C50">
        <v>2299.8</v>
      </c>
      <c r="H50" s="83">
        <v>580425718</v>
      </c>
      <c r="I50" s="83" t="s">
        <v>848</v>
      </c>
      <c r="J50" t="e">
        <f t="shared" si="1"/>
        <v>#N/A</v>
      </c>
      <c r="M50" s="83" t="s">
        <v>946</v>
      </c>
      <c r="N50" s="83">
        <v>580332799</v>
      </c>
      <c r="O50">
        <f t="shared" si="2"/>
        <v>18069.55</v>
      </c>
    </row>
    <row r="51" spans="2:15" ht="38.25">
      <c r="B51">
        <v>580082576</v>
      </c>
      <c r="C51">
        <v>2299.8</v>
      </c>
      <c r="H51" s="83">
        <v>580441186</v>
      </c>
      <c r="I51" s="83" t="s">
        <v>849</v>
      </c>
      <c r="J51">
        <f t="shared" si="1"/>
        <v>1149.28</v>
      </c>
      <c r="M51" s="83" t="s">
        <v>947</v>
      </c>
      <c r="N51" s="83">
        <v>580333243</v>
      </c>
      <c r="O51">
        <f t="shared" si="2"/>
        <v>18170.08</v>
      </c>
    </row>
    <row r="52" spans="2:15" ht="51">
      <c r="B52">
        <v>580087625</v>
      </c>
      <c r="C52">
        <v>17959.8</v>
      </c>
      <c r="H52" s="83">
        <v>580451474</v>
      </c>
      <c r="I52" s="83" t="s">
        <v>850</v>
      </c>
      <c r="J52" t="e">
        <f t="shared" si="1"/>
        <v>#N/A</v>
      </c>
      <c r="M52" s="83" t="s">
        <v>953</v>
      </c>
      <c r="N52" s="83">
        <v>580379485</v>
      </c>
      <c r="O52">
        <f t="shared" si="2"/>
        <v>18232.36</v>
      </c>
    </row>
    <row r="53" spans="2:15" ht="25.5">
      <c r="B53">
        <v>580087880</v>
      </c>
      <c r="C53">
        <v>3138.45</v>
      </c>
      <c r="H53" s="83">
        <v>580459048</v>
      </c>
      <c r="I53" s="83" t="s">
        <v>851</v>
      </c>
      <c r="J53">
        <f t="shared" si="1"/>
        <v>300040.54</v>
      </c>
      <c r="M53" s="83" t="s">
        <v>942</v>
      </c>
      <c r="N53" s="83">
        <v>580320232</v>
      </c>
      <c r="O53">
        <f t="shared" si="2"/>
        <v>18628.6</v>
      </c>
    </row>
    <row r="54" spans="2:15" ht="51">
      <c r="B54">
        <v>580088631</v>
      </c>
      <c r="C54">
        <v>2299.8</v>
      </c>
      <c r="H54" s="83">
        <v>580461895</v>
      </c>
      <c r="I54" s="83" t="s">
        <v>852</v>
      </c>
      <c r="J54">
        <f t="shared" si="1"/>
        <v>982.78</v>
      </c>
      <c r="M54" s="83" t="s">
        <v>978</v>
      </c>
      <c r="N54" s="83">
        <v>580468056</v>
      </c>
      <c r="O54">
        <f t="shared" si="2"/>
        <v>18930.84</v>
      </c>
    </row>
    <row r="55" spans="2:15" ht="51">
      <c r="B55">
        <v>580093680</v>
      </c>
      <c r="C55">
        <v>121280.62</v>
      </c>
      <c r="H55" s="83">
        <v>580462240</v>
      </c>
      <c r="I55" s="83" t="s">
        <v>853</v>
      </c>
      <c r="J55" t="e">
        <f t="shared" si="1"/>
        <v>#N/A</v>
      </c>
      <c r="M55" s="83" t="s">
        <v>974</v>
      </c>
      <c r="N55" s="83">
        <v>580454932</v>
      </c>
      <c r="O55">
        <f t="shared" si="2"/>
        <v>18958.57</v>
      </c>
    </row>
    <row r="56" spans="2:15" ht="25.5">
      <c r="B56">
        <v>580112977</v>
      </c>
      <c r="C56">
        <v>13858.74</v>
      </c>
      <c r="H56" s="83">
        <v>580463040</v>
      </c>
      <c r="I56" s="83" t="s">
        <v>854</v>
      </c>
      <c r="J56">
        <f t="shared" si="1"/>
        <v>11237.12</v>
      </c>
      <c r="M56" s="83" t="s">
        <v>943</v>
      </c>
      <c r="N56" s="83">
        <v>580329167</v>
      </c>
      <c r="O56">
        <f t="shared" si="2"/>
        <v>19771.18</v>
      </c>
    </row>
    <row r="57" spans="2:15" ht="38.25">
      <c r="B57">
        <v>580139566</v>
      </c>
      <c r="C57">
        <v>2946.87</v>
      </c>
      <c r="H57" s="83">
        <v>580463123</v>
      </c>
      <c r="I57" s="83" t="s">
        <v>855</v>
      </c>
      <c r="J57">
        <f t="shared" si="1"/>
        <v>293276.48</v>
      </c>
      <c r="M57" s="83" t="s">
        <v>935</v>
      </c>
      <c r="N57" s="83">
        <v>580233245</v>
      </c>
      <c r="O57">
        <f t="shared" si="2"/>
        <v>19860.35</v>
      </c>
    </row>
    <row r="58" spans="2:15" ht="63.75">
      <c r="B58">
        <v>580168136</v>
      </c>
      <c r="C58">
        <v>36871.23</v>
      </c>
      <c r="H58" s="83">
        <v>580465391</v>
      </c>
      <c r="I58" s="83" t="s">
        <v>856</v>
      </c>
      <c r="J58" t="e">
        <f t="shared" si="1"/>
        <v>#N/A</v>
      </c>
      <c r="M58" s="83" t="s">
        <v>1029</v>
      </c>
      <c r="N58" s="83">
        <v>580626687</v>
      </c>
      <c r="O58">
        <f t="shared" si="2"/>
        <v>21585.98</v>
      </c>
    </row>
    <row r="59" spans="2:15" ht="63.75">
      <c r="B59">
        <v>580173474</v>
      </c>
      <c r="C59">
        <v>80915.91</v>
      </c>
      <c r="H59" s="83">
        <v>580473684</v>
      </c>
      <c r="I59" s="83" t="s">
        <v>857</v>
      </c>
      <c r="J59">
        <f t="shared" si="1"/>
        <v>12356.98</v>
      </c>
      <c r="M59" s="83" t="s">
        <v>939</v>
      </c>
      <c r="N59" s="83">
        <v>580271013</v>
      </c>
      <c r="O59">
        <f t="shared" si="2"/>
        <v>22401.14</v>
      </c>
    </row>
    <row r="60" spans="2:15" ht="76.5">
      <c r="B60">
        <v>580181071</v>
      </c>
      <c r="C60">
        <v>158508.96</v>
      </c>
      <c r="H60" s="83">
        <v>580481190</v>
      </c>
      <c r="I60" s="83" t="s">
        <v>858</v>
      </c>
      <c r="J60">
        <f t="shared" si="1"/>
        <v>7235.02</v>
      </c>
      <c r="M60" s="83" t="s">
        <v>1038</v>
      </c>
      <c r="N60" s="83">
        <v>580641892</v>
      </c>
      <c r="O60">
        <f t="shared" si="2"/>
        <v>22452.54</v>
      </c>
    </row>
    <row r="61" spans="2:15" ht="25.5">
      <c r="B61">
        <v>580195626</v>
      </c>
      <c r="C61">
        <v>5079.02</v>
      </c>
      <c r="H61" s="83">
        <v>580483014</v>
      </c>
      <c r="I61" s="83" t="s">
        <v>859</v>
      </c>
      <c r="J61">
        <f t="shared" si="1"/>
        <v>3216.49</v>
      </c>
      <c r="M61" s="83" t="s">
        <v>1013</v>
      </c>
      <c r="N61" s="83">
        <v>580588325</v>
      </c>
      <c r="O61">
        <f t="shared" si="2"/>
        <v>23741.43</v>
      </c>
    </row>
    <row r="62" spans="2:15" ht="51">
      <c r="B62">
        <v>580195873</v>
      </c>
      <c r="C62">
        <v>2942.31</v>
      </c>
      <c r="H62" s="83">
        <v>580487320</v>
      </c>
      <c r="I62" s="83" t="s">
        <v>860</v>
      </c>
      <c r="J62">
        <f t="shared" si="1"/>
        <v>170692.95</v>
      </c>
      <c r="M62" s="83" t="s">
        <v>1043</v>
      </c>
      <c r="N62" s="83">
        <v>580666352</v>
      </c>
      <c r="O62">
        <f t="shared" si="2"/>
        <v>24447.2</v>
      </c>
    </row>
    <row r="63" spans="2:15" ht="51">
      <c r="B63">
        <v>580205383</v>
      </c>
      <c r="C63">
        <v>10346.59</v>
      </c>
      <c r="H63" s="83">
        <v>580490175</v>
      </c>
      <c r="I63" s="83" t="s">
        <v>861</v>
      </c>
      <c r="J63">
        <f t="shared" si="1"/>
        <v>113120.94</v>
      </c>
      <c r="M63" s="83" t="s">
        <v>1019</v>
      </c>
      <c r="N63" s="83">
        <v>580605350</v>
      </c>
      <c r="O63">
        <f t="shared" si="2"/>
        <v>28516.14</v>
      </c>
    </row>
    <row r="64" spans="2:15" ht="38.25">
      <c r="B64">
        <v>580208569</v>
      </c>
      <c r="C64">
        <v>4698.23</v>
      </c>
      <c r="H64" s="83">
        <v>580490613</v>
      </c>
      <c r="I64" s="83" t="s">
        <v>862</v>
      </c>
      <c r="J64" t="e">
        <f t="shared" si="1"/>
        <v>#N/A</v>
      </c>
      <c r="M64" s="83" t="s">
        <v>1033</v>
      </c>
      <c r="N64" s="83">
        <v>580632974</v>
      </c>
      <c r="O64">
        <f t="shared" si="2"/>
        <v>30348.84</v>
      </c>
    </row>
    <row r="65" spans="2:15" ht="51">
      <c r="B65">
        <v>580212827</v>
      </c>
      <c r="C65">
        <v>12256.7</v>
      </c>
      <c r="H65" s="83">
        <v>580495174</v>
      </c>
      <c r="I65" s="83" t="s">
        <v>863</v>
      </c>
      <c r="J65" t="e">
        <f t="shared" si="1"/>
        <v>#N/A</v>
      </c>
      <c r="M65" s="83" t="s">
        <v>956</v>
      </c>
      <c r="N65" s="83">
        <v>580401206</v>
      </c>
      <c r="O65">
        <f t="shared" si="2"/>
        <v>30668.63</v>
      </c>
    </row>
    <row r="66" spans="2:15" ht="25.5">
      <c r="B66">
        <v>580217446</v>
      </c>
      <c r="C66">
        <v>901.99</v>
      </c>
      <c r="H66" s="83">
        <v>580496446</v>
      </c>
      <c r="I66" s="83" t="s">
        <v>864</v>
      </c>
      <c r="J66" t="e">
        <f t="shared" si="1"/>
        <v>#N/A</v>
      </c>
      <c r="M66" s="83" t="s">
        <v>998</v>
      </c>
      <c r="N66" s="83">
        <v>580556447</v>
      </c>
      <c r="O66">
        <f t="shared" si="2"/>
        <v>31422.48</v>
      </c>
    </row>
    <row r="67" spans="2:15" ht="51">
      <c r="B67">
        <v>580218097</v>
      </c>
      <c r="C67">
        <v>7535.61</v>
      </c>
      <c r="H67" s="83">
        <v>580506574</v>
      </c>
      <c r="I67" s="83" t="s">
        <v>865</v>
      </c>
      <c r="J67">
        <f t="shared" si="1"/>
        <v>47482.86</v>
      </c>
      <c r="M67" s="83" t="s">
        <v>982</v>
      </c>
      <c r="N67" s="83">
        <v>580480226</v>
      </c>
      <c r="O67">
        <f t="shared" si="2"/>
        <v>31953.02</v>
      </c>
    </row>
    <row r="68" spans="2:15" ht="63.75">
      <c r="B68">
        <v>580219624</v>
      </c>
      <c r="C68">
        <v>14258.07</v>
      </c>
      <c r="H68" s="83">
        <v>580509016</v>
      </c>
      <c r="I68" s="83" t="s">
        <v>866</v>
      </c>
      <c r="J68" t="e">
        <f t="shared" si="1"/>
        <v>#N/A</v>
      </c>
      <c r="M68" s="83" t="s">
        <v>1002</v>
      </c>
      <c r="N68" s="83">
        <v>580566164</v>
      </c>
      <c r="O68">
        <f t="shared" si="2"/>
        <v>32367.51</v>
      </c>
    </row>
    <row r="69" spans="2:15" ht="25.5">
      <c r="B69">
        <v>580221687</v>
      </c>
      <c r="C69">
        <v>111026.1</v>
      </c>
      <c r="H69" s="83">
        <v>580512333</v>
      </c>
      <c r="I69" s="83" t="s">
        <v>867</v>
      </c>
      <c r="J69">
        <f t="shared" si="1"/>
        <v>2800.99</v>
      </c>
      <c r="M69" s="83" t="s">
        <v>959</v>
      </c>
      <c r="N69" s="83">
        <v>580410611</v>
      </c>
      <c r="O69">
        <f t="shared" si="2"/>
        <v>32819.03</v>
      </c>
    </row>
    <row r="70" spans="2:15" ht="89.25">
      <c r="B70">
        <v>580223543</v>
      </c>
      <c r="C70">
        <v>7016.85</v>
      </c>
      <c r="H70" s="83">
        <v>580516979</v>
      </c>
      <c r="I70" s="83" t="s">
        <v>868</v>
      </c>
      <c r="J70" t="e">
        <f t="shared" si="1"/>
        <v>#N/A</v>
      </c>
      <c r="M70" s="83" t="s">
        <v>1010</v>
      </c>
      <c r="N70" s="83">
        <v>580584597</v>
      </c>
      <c r="O70">
        <f t="shared" si="2"/>
        <v>33193.97</v>
      </c>
    </row>
    <row r="71" spans="2:15" ht="51">
      <c r="B71">
        <v>580233161</v>
      </c>
      <c r="C71">
        <v>163920.61</v>
      </c>
      <c r="H71" s="83">
        <v>580531556</v>
      </c>
      <c r="I71" s="83" t="s">
        <v>869</v>
      </c>
      <c r="J71">
        <f t="shared" si="1"/>
        <v>13021.98</v>
      </c>
      <c r="M71" s="83" t="s">
        <v>971</v>
      </c>
      <c r="N71" s="83">
        <v>580447258</v>
      </c>
      <c r="O71">
        <f t="shared" si="2"/>
        <v>35167.66</v>
      </c>
    </row>
    <row r="72" spans="2:15" ht="25.5">
      <c r="B72">
        <v>580233245</v>
      </c>
      <c r="C72">
        <v>19860.35</v>
      </c>
      <c r="H72" s="83">
        <v>580543007</v>
      </c>
      <c r="I72" s="83" t="s">
        <v>870</v>
      </c>
      <c r="J72" t="e">
        <f t="shared" si="1"/>
        <v>#N/A</v>
      </c>
      <c r="M72" s="83" t="s">
        <v>976</v>
      </c>
      <c r="N72" s="83">
        <v>580460855</v>
      </c>
      <c r="O72">
        <f t="shared" si="2"/>
        <v>36241.6</v>
      </c>
    </row>
    <row r="73" spans="2:15" ht="76.5">
      <c r="B73">
        <v>580234581</v>
      </c>
      <c r="C73">
        <v>37970.73</v>
      </c>
      <c r="H73" s="83">
        <v>580552883</v>
      </c>
      <c r="I73" s="83" t="s">
        <v>871</v>
      </c>
      <c r="J73" t="e">
        <f t="shared" si="1"/>
        <v>#N/A</v>
      </c>
      <c r="M73" s="83" t="s">
        <v>1025</v>
      </c>
      <c r="N73" s="83">
        <v>580621241</v>
      </c>
      <c r="O73">
        <f t="shared" si="2"/>
        <v>38491.94</v>
      </c>
    </row>
    <row r="74" spans="2:15" ht="63.75">
      <c r="B74">
        <v>580235869</v>
      </c>
      <c r="C74">
        <v>119809.48</v>
      </c>
      <c r="H74" s="83">
        <v>580578516</v>
      </c>
      <c r="I74" s="83" t="s">
        <v>872</v>
      </c>
      <c r="J74" t="e">
        <f t="shared" si="1"/>
        <v>#N/A</v>
      </c>
      <c r="M74" s="83" t="s">
        <v>961</v>
      </c>
      <c r="N74" s="83">
        <v>580414118</v>
      </c>
      <c r="O74">
        <f t="shared" si="2"/>
        <v>39627.24</v>
      </c>
    </row>
    <row r="75" spans="2:15" ht="38.25">
      <c r="B75">
        <v>580241610</v>
      </c>
      <c r="C75">
        <v>65638.08</v>
      </c>
      <c r="H75" s="83">
        <v>580591345</v>
      </c>
      <c r="I75" s="83" t="s">
        <v>873</v>
      </c>
      <c r="J75" t="e">
        <f t="shared" si="1"/>
        <v>#N/A</v>
      </c>
      <c r="M75" s="83" t="s">
        <v>1012</v>
      </c>
      <c r="N75" s="83">
        <v>580587459</v>
      </c>
      <c r="O75">
        <f t="shared" si="2"/>
        <v>42382.02</v>
      </c>
    </row>
    <row r="76" spans="2:15" ht="51">
      <c r="B76">
        <v>580246783</v>
      </c>
      <c r="C76">
        <v>17863.89</v>
      </c>
      <c r="H76" s="83">
        <v>580594935</v>
      </c>
      <c r="I76" s="83" t="s">
        <v>874</v>
      </c>
      <c r="J76">
        <f t="shared" si="1"/>
        <v>15625</v>
      </c>
      <c r="M76" s="83" t="s">
        <v>980</v>
      </c>
      <c r="N76" s="83">
        <v>580472546</v>
      </c>
      <c r="O76">
        <f t="shared" si="2"/>
        <v>43642.33</v>
      </c>
    </row>
    <row r="77" spans="2:15" ht="51">
      <c r="B77">
        <v>580250660</v>
      </c>
      <c r="C77">
        <v>5100.77</v>
      </c>
      <c r="H77" s="83">
        <v>580596377</v>
      </c>
      <c r="I77" s="83" t="s">
        <v>875</v>
      </c>
      <c r="J77">
        <f t="shared" si="1"/>
        <v>17483.19</v>
      </c>
      <c r="M77" s="83" t="s">
        <v>941</v>
      </c>
      <c r="N77" s="83">
        <v>580318830</v>
      </c>
      <c r="O77">
        <f t="shared" si="2"/>
        <v>43816.91</v>
      </c>
    </row>
    <row r="78" spans="2:15" ht="63.75">
      <c r="B78">
        <v>580253367</v>
      </c>
      <c r="C78">
        <v>34520.94</v>
      </c>
      <c r="H78" s="83">
        <v>580612679</v>
      </c>
      <c r="I78" s="83" t="s">
        <v>876</v>
      </c>
      <c r="J78" t="e">
        <f t="shared" si="1"/>
        <v>#N/A</v>
      </c>
      <c r="M78" s="83" t="s">
        <v>1039</v>
      </c>
      <c r="N78" s="83">
        <v>580649291</v>
      </c>
      <c r="O78">
        <f t="shared" si="2"/>
        <v>44965.5</v>
      </c>
    </row>
    <row r="79" spans="2:15" ht="63.75">
      <c r="B79">
        <v>580253532</v>
      </c>
      <c r="C79">
        <v>4236.78</v>
      </c>
      <c r="H79" s="83">
        <v>580613503</v>
      </c>
      <c r="I79" s="83" t="s">
        <v>877</v>
      </c>
      <c r="J79" t="e">
        <f t="shared" si="1"/>
        <v>#N/A</v>
      </c>
      <c r="M79" s="83" t="s">
        <v>1003</v>
      </c>
      <c r="N79" s="83">
        <v>580568681</v>
      </c>
      <c r="O79">
        <f aca="true" t="shared" si="3" ref="O79:O110">VLOOKUP(N79,$B$15:$C$1700,2,0)</f>
        <v>47300.93</v>
      </c>
    </row>
    <row r="80" spans="2:15" ht="63.75">
      <c r="B80">
        <v>580253904</v>
      </c>
      <c r="C80">
        <v>5237.49</v>
      </c>
      <c r="H80" s="83">
        <v>580613578</v>
      </c>
      <c r="I80" s="83" t="s">
        <v>878</v>
      </c>
      <c r="J80">
        <f aca="true" t="shared" si="4" ref="J80:J111">VLOOKUP(H80,$B$15:$C$290,2,0)</f>
        <v>31422.48</v>
      </c>
      <c r="M80" s="83" t="s">
        <v>1027</v>
      </c>
      <c r="N80" s="83">
        <v>580624765</v>
      </c>
      <c r="O80">
        <f t="shared" si="3"/>
        <v>47657.43</v>
      </c>
    </row>
    <row r="81" spans="2:15" ht="25.5">
      <c r="B81">
        <v>580266492</v>
      </c>
      <c r="C81">
        <v>10467.64</v>
      </c>
      <c r="H81" s="83">
        <v>580613693</v>
      </c>
      <c r="I81" s="83" t="s">
        <v>879</v>
      </c>
      <c r="J81">
        <f t="shared" si="4"/>
        <v>736.72</v>
      </c>
      <c r="M81" s="83" t="s">
        <v>994</v>
      </c>
      <c r="N81" s="83">
        <v>580543296</v>
      </c>
      <c r="O81">
        <f t="shared" si="3"/>
        <v>50275.96</v>
      </c>
    </row>
    <row r="82" spans="2:15" ht="38.25">
      <c r="B82">
        <v>580266500</v>
      </c>
      <c r="C82">
        <v>132079.17</v>
      </c>
      <c r="H82" s="83">
        <v>580615912</v>
      </c>
      <c r="I82" s="83" t="s">
        <v>880</v>
      </c>
      <c r="J82" t="e">
        <f t="shared" si="4"/>
        <v>#N/A</v>
      </c>
      <c r="M82" s="83" t="s">
        <v>963</v>
      </c>
      <c r="N82" s="83">
        <v>580424406</v>
      </c>
      <c r="O82">
        <f t="shared" si="3"/>
        <v>52171.87</v>
      </c>
    </row>
    <row r="83" spans="2:15" ht="76.5">
      <c r="B83">
        <v>580267334</v>
      </c>
      <c r="C83">
        <v>113120.92</v>
      </c>
      <c r="H83" s="83">
        <v>580621274</v>
      </c>
      <c r="I83" s="83" t="s">
        <v>881</v>
      </c>
      <c r="J83">
        <f t="shared" si="4"/>
        <v>22398.3</v>
      </c>
      <c r="M83" s="83" t="s">
        <v>968</v>
      </c>
      <c r="N83" s="83">
        <v>580442309</v>
      </c>
      <c r="O83">
        <f t="shared" si="3"/>
        <v>54366.4</v>
      </c>
    </row>
    <row r="84" spans="2:15" ht="38.25">
      <c r="B84">
        <v>580271013</v>
      </c>
      <c r="C84">
        <v>22401.14</v>
      </c>
      <c r="H84" s="83">
        <v>580627271</v>
      </c>
      <c r="I84" s="83" t="s">
        <v>882</v>
      </c>
      <c r="J84" t="e">
        <f t="shared" si="4"/>
        <v>#N/A</v>
      </c>
      <c r="M84" s="83" t="s">
        <v>1005</v>
      </c>
      <c r="N84" s="83">
        <v>580576247</v>
      </c>
      <c r="O84">
        <f t="shared" si="3"/>
        <v>54788.07</v>
      </c>
    </row>
    <row r="85" spans="2:15" ht="51">
      <c r="B85">
        <v>580274629</v>
      </c>
      <c r="C85">
        <v>169402.34</v>
      </c>
      <c r="H85" s="83">
        <v>580627404</v>
      </c>
      <c r="I85" s="83" t="s">
        <v>883</v>
      </c>
      <c r="J85" t="e">
        <f t="shared" si="4"/>
        <v>#N/A</v>
      </c>
      <c r="M85" s="83" t="s">
        <v>1000</v>
      </c>
      <c r="N85" s="83">
        <v>580563120</v>
      </c>
      <c r="O85">
        <f t="shared" si="3"/>
        <v>55567.57</v>
      </c>
    </row>
    <row r="86" spans="2:15" ht="63.75">
      <c r="B86">
        <v>580279875</v>
      </c>
      <c r="C86">
        <v>23741.43</v>
      </c>
      <c r="H86" s="83">
        <v>580627669</v>
      </c>
      <c r="I86" s="83" t="s">
        <v>884</v>
      </c>
      <c r="J86">
        <f t="shared" si="4"/>
        <v>18322.34</v>
      </c>
      <c r="M86" s="83" t="s">
        <v>1009</v>
      </c>
      <c r="N86" s="83">
        <v>580580561</v>
      </c>
      <c r="O86">
        <f t="shared" si="3"/>
        <v>56909.6</v>
      </c>
    </row>
    <row r="87" spans="2:15" ht="25.5">
      <c r="B87">
        <v>580290948</v>
      </c>
      <c r="C87">
        <v>191677.13</v>
      </c>
      <c r="H87" s="83">
        <v>580635498</v>
      </c>
      <c r="I87" s="83" t="s">
        <v>885</v>
      </c>
      <c r="J87">
        <f t="shared" si="4"/>
        <v>9980.09</v>
      </c>
      <c r="M87" s="83" t="s">
        <v>988</v>
      </c>
      <c r="N87" s="83">
        <v>580513885</v>
      </c>
      <c r="O87">
        <f t="shared" si="3"/>
        <v>62803.08</v>
      </c>
    </row>
    <row r="88" spans="2:15" ht="12.75">
      <c r="B88">
        <v>580293348</v>
      </c>
      <c r="C88">
        <v>25397.02</v>
      </c>
      <c r="H88" s="83">
        <v>580641603</v>
      </c>
      <c r="I88" s="83" t="s">
        <v>886</v>
      </c>
      <c r="J88">
        <f t="shared" si="4"/>
        <v>2712.6</v>
      </c>
      <c r="M88" s="83" t="s">
        <v>965</v>
      </c>
      <c r="N88" s="83">
        <v>580434041</v>
      </c>
      <c r="O88">
        <f t="shared" si="3"/>
        <v>63368.66</v>
      </c>
    </row>
    <row r="89" spans="2:15" ht="63.75">
      <c r="B89">
        <v>580302891</v>
      </c>
      <c r="C89">
        <v>56560.47</v>
      </c>
      <c r="H89" s="83">
        <v>580644839</v>
      </c>
      <c r="I89" s="83" t="s">
        <v>887</v>
      </c>
      <c r="J89">
        <f t="shared" si="4"/>
        <v>5656.06</v>
      </c>
      <c r="M89" s="83" t="s">
        <v>1007</v>
      </c>
      <c r="N89" s="83">
        <v>580578623</v>
      </c>
      <c r="O89">
        <f t="shared" si="3"/>
        <v>63368.67</v>
      </c>
    </row>
    <row r="90" spans="2:15" ht="12.75">
      <c r="B90">
        <v>580304244</v>
      </c>
      <c r="C90">
        <v>32819.03</v>
      </c>
      <c r="H90" s="83">
        <v>580646602</v>
      </c>
      <c r="I90" s="83" t="s">
        <v>888</v>
      </c>
      <c r="J90">
        <f t="shared" si="4"/>
        <v>14289</v>
      </c>
      <c r="M90" s="83" t="s">
        <v>997</v>
      </c>
      <c r="N90" s="83">
        <v>580550218</v>
      </c>
      <c r="O90">
        <f t="shared" si="3"/>
        <v>63562.73</v>
      </c>
    </row>
    <row r="91" spans="2:15" ht="89.25">
      <c r="B91">
        <v>580310969</v>
      </c>
      <c r="C91">
        <v>2807.45</v>
      </c>
      <c r="H91" s="83">
        <v>580648624</v>
      </c>
      <c r="I91" s="83" t="s">
        <v>889</v>
      </c>
      <c r="J91" t="e">
        <f t="shared" si="4"/>
        <v>#N/A</v>
      </c>
      <c r="M91" s="83" t="s">
        <v>949</v>
      </c>
      <c r="N91" s="83">
        <v>580350080</v>
      </c>
      <c r="O91">
        <f t="shared" si="3"/>
        <v>65638.08</v>
      </c>
    </row>
    <row r="92" spans="2:15" ht="25.5">
      <c r="B92">
        <v>580313039</v>
      </c>
      <c r="C92">
        <v>15494.73</v>
      </c>
      <c r="H92" s="83">
        <v>580648889</v>
      </c>
      <c r="I92" s="83" t="s">
        <v>890</v>
      </c>
      <c r="J92">
        <f t="shared" si="4"/>
        <v>65701.14</v>
      </c>
      <c r="M92" s="83" t="s">
        <v>913</v>
      </c>
      <c r="N92" s="83">
        <v>510681968</v>
      </c>
      <c r="O92">
        <f t="shared" si="3"/>
        <v>67573.87</v>
      </c>
    </row>
    <row r="93" spans="2:15" ht="38.25">
      <c r="B93">
        <v>580318830</v>
      </c>
      <c r="C93">
        <v>43816.91</v>
      </c>
      <c r="H93" s="83">
        <v>580649168</v>
      </c>
      <c r="I93" s="83" t="s">
        <v>891</v>
      </c>
      <c r="J93" t="e">
        <f t="shared" si="4"/>
        <v>#N/A</v>
      </c>
      <c r="M93" s="83" t="s">
        <v>1037</v>
      </c>
      <c r="N93" s="83">
        <v>580641579</v>
      </c>
      <c r="O93">
        <f t="shared" si="3"/>
        <v>69710.02</v>
      </c>
    </row>
    <row r="94" spans="2:15" ht="51">
      <c r="B94">
        <v>580320232</v>
      </c>
      <c r="C94">
        <v>18628.6</v>
      </c>
      <c r="H94" s="83">
        <v>580653376</v>
      </c>
      <c r="I94" s="83" t="s">
        <v>892</v>
      </c>
      <c r="J94">
        <f t="shared" si="4"/>
        <v>10821.44</v>
      </c>
      <c r="M94" s="83" t="s">
        <v>986</v>
      </c>
      <c r="N94" s="83">
        <v>580499853</v>
      </c>
      <c r="O94">
        <f t="shared" si="3"/>
        <v>69932.74</v>
      </c>
    </row>
    <row r="95" spans="2:15" ht="38.25">
      <c r="B95">
        <v>580322741</v>
      </c>
      <c r="C95">
        <v>11725.04</v>
      </c>
      <c r="H95" s="83">
        <v>580655447</v>
      </c>
      <c r="I95" s="83" t="s">
        <v>893</v>
      </c>
      <c r="J95">
        <f t="shared" si="4"/>
        <v>2959.55</v>
      </c>
      <c r="M95" s="83" t="s">
        <v>1034</v>
      </c>
      <c r="N95" s="83">
        <v>580634335</v>
      </c>
      <c r="O95">
        <f t="shared" si="3"/>
        <v>71224.29</v>
      </c>
    </row>
    <row r="96" spans="2:15" ht="51">
      <c r="B96">
        <v>580329167</v>
      </c>
      <c r="C96">
        <v>19771.18</v>
      </c>
      <c r="H96" s="83">
        <v>580661734</v>
      </c>
      <c r="I96" s="83" t="s">
        <v>894</v>
      </c>
      <c r="J96" t="e">
        <f t="shared" si="4"/>
        <v>#N/A</v>
      </c>
      <c r="M96" s="83" t="s">
        <v>952</v>
      </c>
      <c r="N96" s="83">
        <v>580373744</v>
      </c>
      <c r="O96">
        <f t="shared" si="3"/>
        <v>73162.12</v>
      </c>
    </row>
    <row r="97" spans="2:15" ht="63.75">
      <c r="B97">
        <v>580330603</v>
      </c>
      <c r="C97">
        <v>11207.04</v>
      </c>
      <c r="H97" s="83">
        <v>580664068</v>
      </c>
      <c r="I97" s="83" t="s">
        <v>895</v>
      </c>
      <c r="J97" t="e">
        <f t="shared" si="4"/>
        <v>#N/A</v>
      </c>
      <c r="M97" s="83" t="s">
        <v>1040</v>
      </c>
      <c r="N97" s="83">
        <v>580649358</v>
      </c>
      <c r="O97">
        <f t="shared" si="3"/>
        <v>74148.18</v>
      </c>
    </row>
    <row r="98" spans="2:15" ht="38.25">
      <c r="B98">
        <v>580331239</v>
      </c>
      <c r="C98">
        <v>10677.82</v>
      </c>
      <c r="H98" s="83">
        <v>580664654</v>
      </c>
      <c r="I98" s="83" t="s">
        <v>896</v>
      </c>
      <c r="J98">
        <f t="shared" si="4"/>
        <v>40088.83</v>
      </c>
      <c r="M98" s="83" t="s">
        <v>970</v>
      </c>
      <c r="N98" s="83">
        <v>580445070</v>
      </c>
      <c r="O98">
        <f t="shared" si="3"/>
        <v>77238.88</v>
      </c>
    </row>
    <row r="99" spans="2:15" ht="38.25">
      <c r="B99">
        <v>580332799</v>
      </c>
      <c r="C99">
        <v>18069.55</v>
      </c>
      <c r="H99" s="83">
        <v>580665594</v>
      </c>
      <c r="I99" s="83" t="s">
        <v>897</v>
      </c>
      <c r="J99" t="e">
        <f t="shared" si="4"/>
        <v>#N/A</v>
      </c>
      <c r="M99" s="83" t="s">
        <v>995</v>
      </c>
      <c r="N99" s="83">
        <v>580546133</v>
      </c>
      <c r="O99">
        <f t="shared" si="3"/>
        <v>79254.48</v>
      </c>
    </row>
    <row r="100" spans="2:15" ht="51">
      <c r="B100">
        <v>580333243</v>
      </c>
      <c r="C100">
        <v>18170.08</v>
      </c>
      <c r="H100" s="83">
        <v>580665933</v>
      </c>
      <c r="I100" s="83" t="s">
        <v>898</v>
      </c>
      <c r="J100">
        <f t="shared" si="4"/>
        <v>21220</v>
      </c>
      <c r="M100" s="83" t="s">
        <v>955</v>
      </c>
      <c r="N100" s="83">
        <v>580398642</v>
      </c>
      <c r="O100">
        <f t="shared" si="3"/>
        <v>80177.66</v>
      </c>
    </row>
    <row r="101" spans="2:15" ht="63.75">
      <c r="B101">
        <v>580343697</v>
      </c>
      <c r="C101">
        <v>37706.97</v>
      </c>
      <c r="H101" s="83">
        <v>580666113</v>
      </c>
      <c r="I101" s="83" t="s">
        <v>899</v>
      </c>
      <c r="J101">
        <f t="shared" si="4"/>
        <v>9560.81</v>
      </c>
      <c r="M101" s="83" t="s">
        <v>984</v>
      </c>
      <c r="N101" s="83">
        <v>580489466</v>
      </c>
      <c r="O101">
        <f t="shared" si="3"/>
        <v>83736.04</v>
      </c>
    </row>
    <row r="102" spans="2:15" ht="51">
      <c r="B102">
        <v>580344646</v>
      </c>
      <c r="C102">
        <v>30858.68</v>
      </c>
      <c r="H102" s="83">
        <v>580667046</v>
      </c>
      <c r="I102" s="83" t="s">
        <v>900</v>
      </c>
      <c r="J102" t="e">
        <f t="shared" si="4"/>
        <v>#N/A</v>
      </c>
      <c r="M102" s="83" t="s">
        <v>950</v>
      </c>
      <c r="N102" s="83">
        <v>580356178</v>
      </c>
      <c r="O102">
        <f t="shared" si="3"/>
        <v>85264.57</v>
      </c>
    </row>
    <row r="103" spans="2:15" ht="51">
      <c r="B103">
        <v>580348589</v>
      </c>
      <c r="C103">
        <v>14136.43</v>
      </c>
      <c r="H103" s="83">
        <v>580669257</v>
      </c>
      <c r="I103" s="83" t="s">
        <v>901</v>
      </c>
      <c r="J103">
        <f t="shared" si="4"/>
        <v>4329.77</v>
      </c>
      <c r="M103" s="83" t="s">
        <v>977</v>
      </c>
      <c r="N103" s="83">
        <v>580464923</v>
      </c>
      <c r="O103">
        <f t="shared" si="3"/>
        <v>87982.94</v>
      </c>
    </row>
    <row r="104" spans="2:15" ht="76.5">
      <c r="B104">
        <v>580350080</v>
      </c>
      <c r="C104">
        <v>65638.08</v>
      </c>
      <c r="H104" s="83">
        <v>580669729</v>
      </c>
      <c r="I104" s="83" t="s">
        <v>902</v>
      </c>
      <c r="J104" t="e">
        <f t="shared" si="4"/>
        <v>#N/A</v>
      </c>
      <c r="M104" s="83" t="s">
        <v>967</v>
      </c>
      <c r="N104" s="83">
        <v>580441772</v>
      </c>
      <c r="O104">
        <f t="shared" si="3"/>
        <v>91823.47</v>
      </c>
    </row>
    <row r="105" spans="2:15" ht="25.5">
      <c r="B105">
        <v>580353431</v>
      </c>
      <c r="C105">
        <v>34520.94</v>
      </c>
      <c r="H105" s="83">
        <v>580670412</v>
      </c>
      <c r="I105" s="83" t="s">
        <v>903</v>
      </c>
      <c r="J105">
        <f t="shared" si="4"/>
        <v>9111.16</v>
      </c>
      <c r="M105" s="83" t="s">
        <v>1014</v>
      </c>
      <c r="N105" s="83">
        <v>580592806</v>
      </c>
      <c r="O105">
        <f t="shared" si="3"/>
        <v>98642.49</v>
      </c>
    </row>
    <row r="106" spans="2:15" ht="51">
      <c r="B106">
        <v>580356178</v>
      </c>
      <c r="C106">
        <v>85264.57</v>
      </c>
      <c r="H106" s="83">
        <v>580675650</v>
      </c>
      <c r="I106" s="83" t="s">
        <v>904</v>
      </c>
      <c r="J106" t="e">
        <f t="shared" si="4"/>
        <v>#N/A</v>
      </c>
      <c r="M106" s="83" t="s">
        <v>969</v>
      </c>
      <c r="N106" s="83">
        <v>580443372</v>
      </c>
      <c r="O106">
        <f t="shared" si="3"/>
        <v>101402.76</v>
      </c>
    </row>
    <row r="107" spans="2:15" ht="63.75">
      <c r="B107">
        <v>580367167</v>
      </c>
      <c r="C107">
        <v>58081.91</v>
      </c>
      <c r="H107" s="83">
        <v>580677243</v>
      </c>
      <c r="I107" s="83" t="s">
        <v>905</v>
      </c>
      <c r="J107">
        <f t="shared" si="4"/>
        <v>21220</v>
      </c>
      <c r="M107" s="83" t="s">
        <v>996</v>
      </c>
      <c r="N107" s="83">
        <v>580547339</v>
      </c>
      <c r="O107">
        <f t="shared" si="3"/>
        <v>104656.27</v>
      </c>
    </row>
    <row r="108" spans="2:15" ht="38.25">
      <c r="B108">
        <v>580369015</v>
      </c>
      <c r="C108">
        <v>17579.66</v>
      </c>
      <c r="H108" s="83">
        <v>580680957</v>
      </c>
      <c r="I108" s="83" t="s">
        <v>906</v>
      </c>
      <c r="J108" t="e">
        <f t="shared" si="4"/>
        <v>#N/A</v>
      </c>
      <c r="M108" s="83" t="s">
        <v>1001</v>
      </c>
      <c r="N108" s="83">
        <v>580565406</v>
      </c>
      <c r="O108">
        <f t="shared" si="3"/>
        <v>106712.02</v>
      </c>
    </row>
    <row r="109" spans="2:15" ht="63.75">
      <c r="B109">
        <v>580371037</v>
      </c>
      <c r="C109">
        <v>18189.07</v>
      </c>
      <c r="H109" s="83">
        <v>580685956</v>
      </c>
      <c r="I109" s="83" t="s">
        <v>907</v>
      </c>
      <c r="J109" t="e">
        <f t="shared" si="4"/>
        <v>#N/A</v>
      </c>
      <c r="M109" s="83" t="s">
        <v>1018</v>
      </c>
      <c r="N109" s="83">
        <v>580604528</v>
      </c>
      <c r="O109">
        <f t="shared" si="3"/>
        <v>111026.1</v>
      </c>
    </row>
    <row r="110" spans="2:15" ht="63.75">
      <c r="B110">
        <v>580373744</v>
      </c>
      <c r="C110">
        <v>73162.12</v>
      </c>
      <c r="H110" s="83">
        <v>580687143</v>
      </c>
      <c r="I110" s="83" t="s">
        <v>908</v>
      </c>
      <c r="J110">
        <f t="shared" si="4"/>
        <v>36241.6</v>
      </c>
      <c r="M110" s="83" t="s">
        <v>972</v>
      </c>
      <c r="N110" s="83">
        <v>580449577</v>
      </c>
      <c r="O110">
        <f t="shared" si="3"/>
        <v>112422.65</v>
      </c>
    </row>
    <row r="111" spans="2:15" ht="25.5">
      <c r="B111">
        <v>580377968</v>
      </c>
      <c r="C111">
        <v>4428.63</v>
      </c>
      <c r="H111" s="83">
        <v>580692937</v>
      </c>
      <c r="I111" s="83" t="s">
        <v>909</v>
      </c>
      <c r="J111" t="e">
        <f t="shared" si="4"/>
        <v>#N/A</v>
      </c>
      <c r="M111" s="83" t="s">
        <v>975</v>
      </c>
      <c r="N111" s="83">
        <v>580459758</v>
      </c>
      <c r="O111">
        <f aca="true" t="shared" si="5" ref="O111:O142">VLOOKUP(N111,$B$15:$C$1700,2,0)</f>
        <v>117037.12</v>
      </c>
    </row>
    <row r="112" spans="2:15" ht="51">
      <c r="B112">
        <v>580379485</v>
      </c>
      <c r="C112">
        <v>18232.36</v>
      </c>
      <c r="H112" s="83"/>
      <c r="M112" s="83" t="s">
        <v>936</v>
      </c>
      <c r="N112" s="83">
        <v>580235869</v>
      </c>
      <c r="O112">
        <f t="shared" si="5"/>
        <v>119809.48</v>
      </c>
    </row>
    <row r="113" spans="2:15" ht="25.5">
      <c r="B113">
        <v>580380038</v>
      </c>
      <c r="C113">
        <v>10742.07</v>
      </c>
      <c r="H113" s="83"/>
      <c r="M113" s="83" t="s">
        <v>926</v>
      </c>
      <c r="N113" s="83">
        <v>580093680</v>
      </c>
      <c r="O113">
        <f t="shared" si="5"/>
        <v>121280.62</v>
      </c>
    </row>
    <row r="114" spans="2:15" ht="25.5">
      <c r="B114">
        <v>580380855</v>
      </c>
      <c r="C114">
        <v>79254.48</v>
      </c>
      <c r="M114" s="83" t="s">
        <v>1017</v>
      </c>
      <c r="N114" s="83">
        <v>580603025</v>
      </c>
      <c r="O114">
        <f t="shared" si="5"/>
        <v>124285.72</v>
      </c>
    </row>
    <row r="115" spans="2:15" ht="25.5">
      <c r="B115">
        <v>580381440</v>
      </c>
      <c r="C115">
        <v>11585.94</v>
      </c>
      <c r="M115" s="83" t="s">
        <v>921</v>
      </c>
      <c r="N115" s="83">
        <v>580052793</v>
      </c>
      <c r="O115">
        <f t="shared" si="5"/>
        <v>138195.11</v>
      </c>
    </row>
    <row r="116" spans="2:15" ht="38.25">
      <c r="B116">
        <v>580386639</v>
      </c>
      <c r="C116">
        <v>3622.07</v>
      </c>
      <c r="M116" s="83" t="s">
        <v>1031</v>
      </c>
      <c r="N116" s="83">
        <v>580629962</v>
      </c>
      <c r="O116">
        <f t="shared" si="5"/>
        <v>153364.01</v>
      </c>
    </row>
    <row r="117" spans="2:15" ht="38.25">
      <c r="B117">
        <v>580388817</v>
      </c>
      <c r="C117">
        <v>3424.37</v>
      </c>
      <c r="M117" s="83" t="s">
        <v>979</v>
      </c>
      <c r="N117" s="83">
        <v>580470557</v>
      </c>
      <c r="O117">
        <f t="shared" si="5"/>
        <v>154634.56</v>
      </c>
    </row>
    <row r="118" spans="2:15" ht="51">
      <c r="B118">
        <v>580395366</v>
      </c>
      <c r="C118">
        <v>50275.97</v>
      </c>
      <c r="M118" s="83" t="s">
        <v>987</v>
      </c>
      <c r="N118" s="83">
        <v>580508919</v>
      </c>
      <c r="O118">
        <f t="shared" si="5"/>
        <v>158508.96</v>
      </c>
    </row>
    <row r="119" spans="2:15" ht="51">
      <c r="B119">
        <v>580396141</v>
      </c>
      <c r="C119">
        <v>3194.01</v>
      </c>
      <c r="M119" s="83" t="s">
        <v>934</v>
      </c>
      <c r="N119" s="83">
        <v>580233161</v>
      </c>
      <c r="O119">
        <f t="shared" si="5"/>
        <v>163920.61</v>
      </c>
    </row>
    <row r="120" spans="2:15" ht="51">
      <c r="B120">
        <v>580396836</v>
      </c>
      <c r="C120">
        <v>19982.59</v>
      </c>
      <c r="M120" s="83" t="s">
        <v>958</v>
      </c>
      <c r="N120" s="83">
        <v>580408607</v>
      </c>
      <c r="O120">
        <f t="shared" si="5"/>
        <v>164095.19</v>
      </c>
    </row>
    <row r="121" spans="2:15" ht="63.75">
      <c r="B121">
        <v>580397545</v>
      </c>
      <c r="C121">
        <v>16409.52</v>
      </c>
      <c r="M121" s="83" t="s">
        <v>992</v>
      </c>
      <c r="N121" s="83">
        <v>580529063</v>
      </c>
      <c r="O121">
        <f t="shared" si="5"/>
        <v>164141.5</v>
      </c>
    </row>
    <row r="122" spans="2:15" ht="25.5">
      <c r="B122">
        <v>580398642</v>
      </c>
      <c r="C122">
        <v>80177.66</v>
      </c>
      <c r="M122" s="83" t="s">
        <v>966</v>
      </c>
      <c r="N122" s="83">
        <v>580435980</v>
      </c>
      <c r="O122">
        <f t="shared" si="5"/>
        <v>166190.01</v>
      </c>
    </row>
    <row r="123" spans="2:15" ht="63.75">
      <c r="B123">
        <v>580398782</v>
      </c>
      <c r="C123">
        <v>91981.6</v>
      </c>
      <c r="M123" s="83" t="s">
        <v>957</v>
      </c>
      <c r="N123" s="83">
        <v>580402709</v>
      </c>
      <c r="O123">
        <f t="shared" si="5"/>
        <v>191328</v>
      </c>
    </row>
    <row r="124" spans="2:15" ht="51">
      <c r="B124">
        <v>580401206</v>
      </c>
      <c r="C124">
        <v>30668.63</v>
      </c>
      <c r="M124" s="83" t="s">
        <v>922</v>
      </c>
      <c r="N124" s="83">
        <v>580055937</v>
      </c>
      <c r="O124">
        <f t="shared" si="5"/>
        <v>213486</v>
      </c>
    </row>
    <row r="125" spans="2:15" ht="12.75">
      <c r="B125">
        <v>580402709</v>
      </c>
      <c r="C125">
        <v>191328</v>
      </c>
      <c r="M125" s="83" t="s">
        <v>912</v>
      </c>
      <c r="N125" s="83">
        <v>123456789</v>
      </c>
      <c r="O125" t="e">
        <f t="shared" si="5"/>
        <v>#N/A</v>
      </c>
    </row>
    <row r="126" spans="2:15" ht="38.25">
      <c r="B126">
        <v>580405157</v>
      </c>
      <c r="C126">
        <v>21297.46</v>
      </c>
      <c r="M126" s="83" t="s">
        <v>917</v>
      </c>
      <c r="N126" s="83">
        <v>580031540</v>
      </c>
      <c r="O126" t="e">
        <f t="shared" si="5"/>
        <v>#N/A</v>
      </c>
    </row>
    <row r="127" spans="2:15" ht="51">
      <c r="B127">
        <v>580407773</v>
      </c>
      <c r="C127">
        <v>64066.94</v>
      </c>
      <c r="M127" s="83" t="s">
        <v>920</v>
      </c>
      <c r="N127" s="83">
        <v>580047165</v>
      </c>
      <c r="O127" t="e">
        <f t="shared" si="5"/>
        <v>#N/A</v>
      </c>
    </row>
    <row r="128" spans="2:15" ht="38.25">
      <c r="B128">
        <v>580408607</v>
      </c>
      <c r="C128">
        <v>164095.19</v>
      </c>
      <c r="M128" s="83" t="s">
        <v>923</v>
      </c>
      <c r="N128" s="83">
        <v>580076818</v>
      </c>
      <c r="O128" t="e">
        <f t="shared" si="5"/>
        <v>#N/A</v>
      </c>
    </row>
    <row r="129" spans="2:15" ht="63.75">
      <c r="B129">
        <v>580410611</v>
      </c>
      <c r="C129">
        <v>32819.03</v>
      </c>
      <c r="M129" s="83" t="s">
        <v>927</v>
      </c>
      <c r="N129" s="83">
        <v>580112480</v>
      </c>
      <c r="O129" t="e">
        <f t="shared" si="5"/>
        <v>#N/A</v>
      </c>
    </row>
    <row r="130" spans="2:15" ht="38.25">
      <c r="B130">
        <v>580411726</v>
      </c>
      <c r="C130">
        <v>10116.28</v>
      </c>
      <c r="M130" s="83" t="s">
        <v>929</v>
      </c>
      <c r="N130" s="83">
        <v>580114825</v>
      </c>
      <c r="O130" t="e">
        <f t="shared" si="5"/>
        <v>#N/A</v>
      </c>
    </row>
    <row r="131" spans="2:15" ht="25.5">
      <c r="B131">
        <v>580411973</v>
      </c>
      <c r="C131">
        <v>14169.96</v>
      </c>
      <c r="M131" s="83" t="s">
        <v>938</v>
      </c>
      <c r="N131" s="83">
        <v>580258242</v>
      </c>
      <c r="O131" t="e">
        <f t="shared" si="5"/>
        <v>#N/A</v>
      </c>
    </row>
    <row r="132" spans="2:15" ht="51">
      <c r="B132">
        <v>580412898</v>
      </c>
      <c r="C132">
        <v>24650.71</v>
      </c>
      <c r="M132" s="83" t="s">
        <v>940</v>
      </c>
      <c r="N132" s="83">
        <v>580275345</v>
      </c>
      <c r="O132" t="e">
        <f t="shared" si="5"/>
        <v>#N/A</v>
      </c>
    </row>
    <row r="133" spans="2:15" ht="25.5">
      <c r="B133">
        <v>580414118</v>
      </c>
      <c r="C133">
        <v>39627.24</v>
      </c>
      <c r="M133" s="83" t="s">
        <v>944</v>
      </c>
      <c r="N133" s="83">
        <v>580329332</v>
      </c>
      <c r="O133" t="e">
        <f t="shared" si="5"/>
        <v>#N/A</v>
      </c>
    </row>
    <row r="134" spans="2:15" ht="63.75">
      <c r="B134">
        <v>580414803</v>
      </c>
      <c r="C134">
        <v>69129.45</v>
      </c>
      <c r="M134" s="83" t="s">
        <v>960</v>
      </c>
      <c r="N134" s="83">
        <v>580412294</v>
      </c>
      <c r="O134" t="e">
        <f t="shared" si="5"/>
        <v>#N/A</v>
      </c>
    </row>
    <row r="135" spans="2:15" ht="38.25">
      <c r="B135">
        <v>580416634</v>
      </c>
      <c r="C135">
        <v>5189.59</v>
      </c>
      <c r="M135" s="83" t="s">
        <v>962</v>
      </c>
      <c r="N135" s="83">
        <v>580420339</v>
      </c>
      <c r="O135" t="e">
        <f t="shared" si="5"/>
        <v>#N/A</v>
      </c>
    </row>
    <row r="136" spans="2:15" ht="25.5">
      <c r="B136">
        <v>580419307</v>
      </c>
      <c r="C136">
        <v>58323.24</v>
      </c>
      <c r="M136" s="83" t="s">
        <v>964</v>
      </c>
      <c r="N136" s="83">
        <v>580428845</v>
      </c>
      <c r="O136" t="e">
        <f t="shared" si="5"/>
        <v>#N/A</v>
      </c>
    </row>
    <row r="137" spans="2:15" ht="38.25">
      <c r="B137">
        <v>580424406</v>
      </c>
      <c r="C137">
        <v>52171.87</v>
      </c>
      <c r="M137" s="83" t="s">
        <v>973</v>
      </c>
      <c r="N137" s="83">
        <v>580451250</v>
      </c>
      <c r="O137" t="e">
        <f t="shared" si="5"/>
        <v>#N/A</v>
      </c>
    </row>
    <row r="138" spans="2:15" ht="12.75">
      <c r="B138">
        <v>580430734</v>
      </c>
      <c r="C138">
        <v>4669.04</v>
      </c>
      <c r="M138" s="83" t="s">
        <v>985</v>
      </c>
      <c r="N138" s="83">
        <v>580497030</v>
      </c>
      <c r="O138" t="e">
        <f t="shared" si="5"/>
        <v>#N/A</v>
      </c>
    </row>
    <row r="139" spans="2:15" ht="25.5">
      <c r="B139">
        <v>580434025</v>
      </c>
      <c r="C139">
        <v>3757</v>
      </c>
      <c r="M139" s="83" t="s">
        <v>993</v>
      </c>
      <c r="N139" s="83">
        <v>580537348</v>
      </c>
      <c r="O139" t="e">
        <f t="shared" si="5"/>
        <v>#N/A</v>
      </c>
    </row>
    <row r="140" spans="2:15" ht="63.75">
      <c r="B140">
        <v>580434041</v>
      </c>
      <c r="C140">
        <v>63368.66</v>
      </c>
      <c r="M140" s="83" t="s">
        <v>999</v>
      </c>
      <c r="N140" s="83">
        <v>580558591</v>
      </c>
      <c r="O140" t="e">
        <f t="shared" si="5"/>
        <v>#N/A</v>
      </c>
    </row>
    <row r="141" spans="2:15" ht="25.5">
      <c r="B141">
        <v>580435980</v>
      </c>
      <c r="C141">
        <v>166190.01</v>
      </c>
      <c r="M141" s="83" t="s">
        <v>1004</v>
      </c>
      <c r="N141" s="83">
        <v>580575769</v>
      </c>
      <c r="O141" t="e">
        <f t="shared" si="5"/>
        <v>#N/A</v>
      </c>
    </row>
    <row r="142" spans="2:15" ht="25.5">
      <c r="B142">
        <v>580441186</v>
      </c>
      <c r="C142">
        <v>1149.28</v>
      </c>
      <c r="M142" s="83" t="s">
        <v>1006</v>
      </c>
      <c r="N142" s="83">
        <v>580577195</v>
      </c>
      <c r="O142" t="e">
        <f t="shared" si="5"/>
        <v>#N/A</v>
      </c>
    </row>
    <row r="143" spans="2:15" ht="25.5">
      <c r="B143">
        <v>580441772</v>
      </c>
      <c r="C143">
        <v>91823.47</v>
      </c>
      <c r="M143" s="83" t="s">
        <v>1020</v>
      </c>
      <c r="N143" s="83">
        <v>580608719</v>
      </c>
      <c r="O143" t="e">
        <f>VLOOKUP(N143,$B$15:$C$1700,2,0)</f>
        <v>#N/A</v>
      </c>
    </row>
    <row r="144" spans="2:15" ht="76.5">
      <c r="B144">
        <v>580442309</v>
      </c>
      <c r="C144">
        <v>54366.4</v>
      </c>
      <c r="M144" s="83" t="s">
        <v>1026</v>
      </c>
      <c r="N144" s="83">
        <v>580621928</v>
      </c>
      <c r="O144" t="e">
        <f>VLOOKUP(N144,$B$15:$C$1700,2,0)</f>
        <v>#N/A</v>
      </c>
    </row>
    <row r="145" spans="2:15" ht="38.25">
      <c r="B145">
        <v>580443372</v>
      </c>
      <c r="C145">
        <v>101402.76</v>
      </c>
      <c r="M145" s="83" t="s">
        <v>1032</v>
      </c>
      <c r="N145" s="83">
        <v>580630242</v>
      </c>
      <c r="O145" t="e">
        <f>VLOOKUP(N145,$B$15:$C$1700,2,0)</f>
        <v>#N/A</v>
      </c>
    </row>
    <row r="146" spans="2:15" ht="51">
      <c r="B146">
        <v>580445070</v>
      </c>
      <c r="C146">
        <v>77238.88</v>
      </c>
      <c r="M146" s="83" t="s">
        <v>1041</v>
      </c>
      <c r="N146" s="83">
        <v>580650760</v>
      </c>
      <c r="O146" t="e">
        <f>VLOOKUP(N146,$B$15:$C$1700,2,0)</f>
        <v>#N/A</v>
      </c>
    </row>
    <row r="147" spans="2:3" ht="12.75">
      <c r="B147">
        <v>580447258</v>
      </c>
      <c r="C147">
        <v>35167.66</v>
      </c>
    </row>
    <row r="148" spans="2:3" ht="12.75">
      <c r="B148">
        <v>580449114</v>
      </c>
      <c r="C148">
        <v>12442.05</v>
      </c>
    </row>
    <row r="149" spans="2:3" ht="12.75">
      <c r="B149">
        <v>580449577</v>
      </c>
      <c r="C149">
        <v>112422.65</v>
      </c>
    </row>
    <row r="150" spans="2:3" ht="12.75">
      <c r="B150">
        <v>580454932</v>
      </c>
      <c r="C150">
        <v>18958.57</v>
      </c>
    </row>
    <row r="151" spans="2:3" ht="12.75">
      <c r="B151">
        <v>580459048</v>
      </c>
      <c r="C151">
        <v>300040.54</v>
      </c>
    </row>
    <row r="152" spans="2:3" ht="12.75">
      <c r="B152">
        <v>580459758</v>
      </c>
      <c r="C152">
        <v>117037.12</v>
      </c>
    </row>
    <row r="153" spans="2:3" ht="12.75">
      <c r="B153">
        <v>580460855</v>
      </c>
      <c r="C153">
        <v>36241.6</v>
      </c>
    </row>
    <row r="154" spans="2:3" ht="12.75">
      <c r="B154">
        <v>580461895</v>
      </c>
      <c r="C154">
        <v>982.78</v>
      </c>
    </row>
    <row r="155" spans="2:3" ht="12.75">
      <c r="B155">
        <v>580463040</v>
      </c>
      <c r="C155">
        <v>11237.12</v>
      </c>
    </row>
    <row r="156" spans="2:3" ht="12.75">
      <c r="B156">
        <v>580463123</v>
      </c>
      <c r="C156">
        <v>293276.48</v>
      </c>
    </row>
    <row r="157" spans="2:3" ht="12.75">
      <c r="B157">
        <v>580464154</v>
      </c>
      <c r="C157">
        <v>12002.41</v>
      </c>
    </row>
    <row r="158" spans="2:3" ht="12.75">
      <c r="B158">
        <v>580464923</v>
      </c>
      <c r="C158">
        <v>87982.94</v>
      </c>
    </row>
    <row r="159" spans="2:14" ht="12.75">
      <c r="B159">
        <v>580468056</v>
      </c>
      <c r="C159">
        <v>18930.84</v>
      </c>
      <c r="M159" s="83"/>
      <c r="N159" s="83"/>
    </row>
    <row r="160" spans="2:14" ht="12.75">
      <c r="B160">
        <v>580470235</v>
      </c>
      <c r="C160">
        <v>38736.2</v>
      </c>
      <c r="M160" s="83"/>
      <c r="N160" s="83"/>
    </row>
    <row r="161" spans="2:14" ht="12.75">
      <c r="B161">
        <v>580470557</v>
      </c>
      <c r="C161">
        <v>154634.56</v>
      </c>
      <c r="M161" s="83"/>
      <c r="N161" s="83"/>
    </row>
    <row r="162" spans="2:14" ht="12.75">
      <c r="B162">
        <v>580472546</v>
      </c>
      <c r="C162">
        <v>43642.33</v>
      </c>
      <c r="M162" s="83"/>
      <c r="N162" s="83"/>
    </row>
    <row r="163" spans="2:3" ht="12.75">
      <c r="B163">
        <v>580473684</v>
      </c>
      <c r="C163">
        <v>12356.98</v>
      </c>
    </row>
    <row r="164" spans="2:3" ht="12.75">
      <c r="B164">
        <v>580474062</v>
      </c>
      <c r="C164">
        <v>5367.49</v>
      </c>
    </row>
    <row r="165" spans="2:3" ht="12.75">
      <c r="B165">
        <v>580475879</v>
      </c>
      <c r="C165">
        <v>16031.59</v>
      </c>
    </row>
    <row r="166" spans="2:3" ht="12.75">
      <c r="B166">
        <v>580479624</v>
      </c>
      <c r="C166">
        <v>8252.34</v>
      </c>
    </row>
    <row r="167" spans="2:3" ht="12.75">
      <c r="B167">
        <v>580480226</v>
      </c>
      <c r="C167">
        <v>31953.02</v>
      </c>
    </row>
    <row r="168" spans="2:3" ht="12.75">
      <c r="B168">
        <v>580481190</v>
      </c>
      <c r="C168">
        <v>7235.02</v>
      </c>
    </row>
    <row r="169" spans="2:3" ht="12.75">
      <c r="B169">
        <v>580483014</v>
      </c>
      <c r="C169">
        <v>3216.49</v>
      </c>
    </row>
    <row r="170" spans="2:3" ht="12.75">
      <c r="B170">
        <v>580484236</v>
      </c>
      <c r="C170">
        <v>11173.86</v>
      </c>
    </row>
    <row r="171" spans="2:3" ht="12.75">
      <c r="B171">
        <v>580487320</v>
      </c>
      <c r="C171">
        <v>170692.95</v>
      </c>
    </row>
    <row r="172" spans="2:3" ht="12.75">
      <c r="B172">
        <v>580489466</v>
      </c>
      <c r="C172">
        <v>83736.04</v>
      </c>
    </row>
    <row r="173" spans="2:14" ht="12.75">
      <c r="B173">
        <v>580490175</v>
      </c>
      <c r="C173">
        <v>113120.94</v>
      </c>
      <c r="M173" s="83"/>
      <c r="N173" s="83"/>
    </row>
    <row r="174" spans="2:14" ht="12.75">
      <c r="B174">
        <v>580493203</v>
      </c>
      <c r="C174">
        <v>28454.8</v>
      </c>
      <c r="M174" s="83"/>
      <c r="N174" s="83"/>
    </row>
    <row r="175" spans="2:3" ht="12.75">
      <c r="B175">
        <v>580499192</v>
      </c>
      <c r="C175">
        <v>71224.29</v>
      </c>
    </row>
    <row r="176" spans="2:14" ht="12.75">
      <c r="B176">
        <v>580499853</v>
      </c>
      <c r="C176">
        <v>69932.74</v>
      </c>
      <c r="M176" s="83"/>
      <c r="N176" s="83"/>
    </row>
    <row r="177" spans="2:14" ht="12.75">
      <c r="B177">
        <v>580503308</v>
      </c>
      <c r="C177">
        <v>15625</v>
      </c>
      <c r="M177" s="83"/>
      <c r="N177" s="83"/>
    </row>
    <row r="178" spans="2:14" ht="12.75">
      <c r="B178">
        <v>580505329</v>
      </c>
      <c r="C178">
        <v>71224.29</v>
      </c>
      <c r="M178" s="83"/>
      <c r="N178" s="83"/>
    </row>
    <row r="179" spans="2:14" ht="12.75">
      <c r="B179">
        <v>580506574</v>
      </c>
      <c r="C179">
        <v>47482.86</v>
      </c>
      <c r="M179" s="83"/>
      <c r="N179" s="83"/>
    </row>
    <row r="180" spans="2:14" ht="12.75">
      <c r="B180">
        <v>580508919</v>
      </c>
      <c r="C180">
        <v>158508.96</v>
      </c>
      <c r="M180" s="83"/>
      <c r="N180" s="83"/>
    </row>
    <row r="181" spans="2:14" ht="12.75">
      <c r="B181">
        <v>580512333</v>
      </c>
      <c r="C181">
        <v>2800.99</v>
      </c>
      <c r="M181" s="83"/>
      <c r="N181" s="83"/>
    </row>
    <row r="182" spans="2:3" ht="12.75">
      <c r="B182">
        <v>580513885</v>
      </c>
      <c r="C182">
        <v>62803.08</v>
      </c>
    </row>
    <row r="183" spans="2:14" ht="12.75">
      <c r="B183">
        <v>580521847</v>
      </c>
      <c r="C183">
        <v>3029.26</v>
      </c>
      <c r="M183" s="83"/>
      <c r="N183" s="83"/>
    </row>
    <row r="184" spans="2:14" ht="12.75">
      <c r="B184">
        <v>580527372</v>
      </c>
      <c r="C184">
        <v>17525.71</v>
      </c>
      <c r="M184" s="83"/>
      <c r="N184" s="83"/>
    </row>
    <row r="185" spans="2:14" ht="12.75">
      <c r="B185">
        <v>580528214</v>
      </c>
      <c r="C185">
        <v>13922.2</v>
      </c>
      <c r="M185" s="83"/>
      <c r="N185" s="83"/>
    </row>
    <row r="186" spans="2:14" ht="12.75">
      <c r="B186">
        <v>580529063</v>
      </c>
      <c r="C186">
        <v>164141.5</v>
      </c>
      <c r="M186" s="83"/>
      <c r="N186" s="83"/>
    </row>
    <row r="187" spans="2:14" ht="12.75">
      <c r="B187">
        <v>580529873</v>
      </c>
      <c r="C187">
        <v>94267.43</v>
      </c>
      <c r="M187" s="83"/>
      <c r="N187" s="83"/>
    </row>
    <row r="188" spans="2:14" ht="12.75">
      <c r="B188">
        <v>580531556</v>
      </c>
      <c r="C188">
        <v>13021.98</v>
      </c>
      <c r="M188" s="83"/>
      <c r="N188" s="83"/>
    </row>
    <row r="189" spans="2:14" ht="12.75">
      <c r="B189">
        <v>580533438</v>
      </c>
      <c r="C189">
        <v>87110.1</v>
      </c>
      <c r="M189" s="83"/>
      <c r="N189" s="83"/>
    </row>
    <row r="190" spans="2:14" ht="12.75">
      <c r="B190">
        <v>580534246</v>
      </c>
      <c r="C190">
        <v>106836.43</v>
      </c>
      <c r="M190" s="83"/>
      <c r="N190" s="83"/>
    </row>
    <row r="191" spans="2:14" ht="12.75">
      <c r="B191">
        <v>580543296</v>
      </c>
      <c r="C191">
        <v>50275.96</v>
      </c>
      <c r="M191" s="83"/>
      <c r="N191" s="83"/>
    </row>
    <row r="192" spans="2:14" ht="12.75">
      <c r="B192">
        <v>580546133</v>
      </c>
      <c r="C192">
        <v>79254.48</v>
      </c>
      <c r="M192" s="83"/>
      <c r="N192" s="83"/>
    </row>
    <row r="193" spans="2:14" ht="12.75">
      <c r="B193">
        <v>580547339</v>
      </c>
      <c r="C193">
        <v>104656.27</v>
      </c>
      <c r="M193" s="83"/>
      <c r="N193" s="83"/>
    </row>
    <row r="194" spans="2:14" ht="12.75">
      <c r="B194">
        <v>580549830</v>
      </c>
      <c r="C194">
        <v>16916.4</v>
      </c>
      <c r="M194" s="83"/>
      <c r="N194" s="83"/>
    </row>
    <row r="195" spans="2:14" ht="12.75">
      <c r="B195">
        <v>580550218</v>
      </c>
      <c r="C195">
        <v>63562.73</v>
      </c>
      <c r="M195" s="83"/>
      <c r="N195" s="83"/>
    </row>
    <row r="196" spans="2:3" ht="12.75">
      <c r="B196">
        <v>580551558</v>
      </c>
      <c r="C196">
        <v>2737.84</v>
      </c>
    </row>
    <row r="197" spans="2:3" ht="12.75">
      <c r="B197">
        <v>580556447</v>
      </c>
      <c r="C197">
        <v>31422.48</v>
      </c>
    </row>
    <row r="198" spans="2:14" ht="12.75">
      <c r="B198">
        <v>580563120</v>
      </c>
      <c r="C198">
        <v>55567.57</v>
      </c>
      <c r="M198" s="83"/>
      <c r="N198" s="83"/>
    </row>
    <row r="199" spans="2:3" ht="12.75">
      <c r="B199">
        <v>580564110</v>
      </c>
      <c r="C199">
        <v>10136.14</v>
      </c>
    </row>
    <row r="200" spans="2:3" ht="12.75">
      <c r="B200">
        <v>580565406</v>
      </c>
      <c r="C200">
        <v>106712.02</v>
      </c>
    </row>
    <row r="201" spans="2:3" ht="12.75">
      <c r="B201">
        <v>580566164</v>
      </c>
      <c r="C201">
        <v>32367.51</v>
      </c>
    </row>
    <row r="202" spans="2:3" ht="12.75">
      <c r="B202">
        <v>580568681</v>
      </c>
      <c r="C202">
        <v>47300.93</v>
      </c>
    </row>
    <row r="203" spans="2:3" ht="12.75">
      <c r="B203">
        <v>580570034</v>
      </c>
      <c r="C203">
        <v>18626.8</v>
      </c>
    </row>
    <row r="204" spans="2:3" ht="12.75">
      <c r="B204">
        <v>580576247</v>
      </c>
      <c r="C204">
        <v>54788.07</v>
      </c>
    </row>
    <row r="205" spans="2:3" ht="12.75">
      <c r="B205">
        <v>580577591</v>
      </c>
      <c r="C205">
        <v>21435.15</v>
      </c>
    </row>
    <row r="206" spans="2:14" ht="12.75">
      <c r="B206">
        <v>580578623</v>
      </c>
      <c r="C206">
        <v>63368.67</v>
      </c>
      <c r="M206" s="83"/>
      <c r="N206" s="83"/>
    </row>
    <row r="207" spans="2:14" ht="12.75">
      <c r="B207">
        <v>580580181</v>
      </c>
      <c r="C207">
        <v>2737.84</v>
      </c>
      <c r="M207" s="83"/>
      <c r="N207" s="83"/>
    </row>
    <row r="208" spans="2:14" ht="12.75">
      <c r="B208">
        <v>580580561</v>
      </c>
      <c r="C208">
        <v>56909.6</v>
      </c>
      <c r="M208" s="83"/>
      <c r="N208" s="83"/>
    </row>
    <row r="209" spans="2:14" ht="12.75">
      <c r="B209">
        <v>580584597</v>
      </c>
      <c r="C209">
        <v>33193.97</v>
      </c>
      <c r="M209" s="83"/>
      <c r="N209" s="83"/>
    </row>
    <row r="210" spans="2:14" ht="12.75">
      <c r="B210">
        <v>580585016</v>
      </c>
      <c r="C210">
        <v>15343.81</v>
      </c>
      <c r="M210" s="83"/>
      <c r="N210" s="83"/>
    </row>
    <row r="211" spans="2:14" ht="12.75">
      <c r="B211">
        <v>580587459</v>
      </c>
      <c r="C211">
        <v>42382.02</v>
      </c>
      <c r="M211" s="83"/>
      <c r="N211" s="83"/>
    </row>
    <row r="212" spans="2:14" ht="12.75">
      <c r="B212">
        <v>580588325</v>
      </c>
      <c r="C212">
        <v>23741.43</v>
      </c>
      <c r="M212" s="83"/>
      <c r="N212" s="83"/>
    </row>
    <row r="213" spans="2:14" ht="12.75">
      <c r="B213">
        <v>580592806</v>
      </c>
      <c r="C213">
        <v>98642.49</v>
      </c>
      <c r="M213" s="83"/>
      <c r="N213" s="83"/>
    </row>
    <row r="214" spans="2:14" ht="12.75">
      <c r="B214">
        <v>580594455</v>
      </c>
      <c r="C214">
        <v>32819.04</v>
      </c>
      <c r="M214" s="83"/>
      <c r="N214" s="83"/>
    </row>
    <row r="215" spans="2:3" ht="12.75">
      <c r="B215">
        <v>580594935</v>
      </c>
      <c r="C215">
        <v>15625</v>
      </c>
    </row>
    <row r="216" spans="2:3" ht="12.75">
      <c r="B216">
        <v>580596005</v>
      </c>
      <c r="C216">
        <v>4107.5</v>
      </c>
    </row>
    <row r="217" spans="2:14" ht="12.75">
      <c r="B217">
        <v>580596377</v>
      </c>
      <c r="C217">
        <v>17483.19</v>
      </c>
      <c r="M217" s="83"/>
      <c r="N217" s="83"/>
    </row>
    <row r="218" spans="2:14" ht="12.75">
      <c r="B218">
        <v>580600328</v>
      </c>
      <c r="C218">
        <v>6431.59</v>
      </c>
      <c r="M218" s="83"/>
      <c r="N218" s="83"/>
    </row>
    <row r="219" spans="2:14" ht="12.75">
      <c r="B219">
        <v>580600377</v>
      </c>
      <c r="C219">
        <v>36241.6</v>
      </c>
      <c r="M219" s="83"/>
      <c r="N219" s="83"/>
    </row>
    <row r="220" spans="2:14" ht="12.75">
      <c r="B220">
        <v>580600583</v>
      </c>
      <c r="C220">
        <v>7057.43</v>
      </c>
      <c r="M220" s="83"/>
      <c r="N220" s="83"/>
    </row>
    <row r="221" spans="2:14" ht="12.75">
      <c r="B221">
        <v>580602613</v>
      </c>
      <c r="C221">
        <v>7869.71</v>
      </c>
      <c r="M221" s="83"/>
      <c r="N221" s="83"/>
    </row>
    <row r="222" spans="2:14" ht="12.75">
      <c r="B222">
        <v>580603025</v>
      </c>
      <c r="C222">
        <v>124285.72</v>
      </c>
      <c r="M222" s="83"/>
      <c r="N222" s="83"/>
    </row>
    <row r="223" spans="2:14" ht="12.75">
      <c r="B223">
        <v>580604528</v>
      </c>
      <c r="C223">
        <v>111026.1</v>
      </c>
      <c r="M223" s="83"/>
      <c r="N223" s="83"/>
    </row>
    <row r="224" spans="2:3" ht="12.75">
      <c r="B224">
        <v>580605350</v>
      </c>
      <c r="C224">
        <v>28516.14</v>
      </c>
    </row>
    <row r="225" spans="2:14" ht="12.75">
      <c r="B225">
        <v>580605632</v>
      </c>
      <c r="C225">
        <v>23741.43</v>
      </c>
      <c r="M225" s="83"/>
      <c r="N225" s="83"/>
    </row>
    <row r="226" spans="2:14" ht="12.75">
      <c r="B226">
        <v>580609105</v>
      </c>
      <c r="C226">
        <v>5214.05</v>
      </c>
      <c r="M226" s="83"/>
      <c r="N226" s="83"/>
    </row>
    <row r="227" spans="2:14" ht="12.75">
      <c r="B227">
        <v>580610210</v>
      </c>
      <c r="C227">
        <v>7912.32</v>
      </c>
      <c r="M227" s="83"/>
      <c r="N227" s="83"/>
    </row>
    <row r="228" spans="2:14" ht="12.75">
      <c r="B228">
        <v>580612778</v>
      </c>
      <c r="C228">
        <v>15144.67</v>
      </c>
      <c r="M228" s="83"/>
      <c r="N228" s="83"/>
    </row>
    <row r="229" spans="2:14" ht="12.75">
      <c r="B229">
        <v>580613420</v>
      </c>
      <c r="C229">
        <v>31422.48</v>
      </c>
      <c r="M229" s="83"/>
      <c r="N229" s="83"/>
    </row>
    <row r="230" spans="2:14" ht="12.75">
      <c r="B230">
        <v>580613578</v>
      </c>
      <c r="C230">
        <v>31422.48</v>
      </c>
      <c r="M230" s="83"/>
      <c r="N230" s="83"/>
    </row>
    <row r="231" spans="2:14" ht="12.75">
      <c r="B231">
        <v>580613693</v>
      </c>
      <c r="C231">
        <v>736.72</v>
      </c>
      <c r="M231" s="83"/>
      <c r="N231" s="83"/>
    </row>
    <row r="232" spans="2:14" ht="12.75">
      <c r="B232">
        <v>580614063</v>
      </c>
      <c r="C232">
        <v>79254.48</v>
      </c>
      <c r="M232" s="83"/>
      <c r="N232" s="83"/>
    </row>
    <row r="233" spans="2:3" ht="12.75">
      <c r="B233">
        <v>580615904</v>
      </c>
      <c r="C233">
        <v>47482.86</v>
      </c>
    </row>
    <row r="234" spans="2:14" ht="12.75">
      <c r="B234">
        <v>580616027</v>
      </c>
      <c r="C234">
        <v>13801.04</v>
      </c>
      <c r="M234" s="83"/>
      <c r="N234" s="83"/>
    </row>
    <row r="235" spans="2:14" ht="12.75">
      <c r="B235">
        <v>580616118</v>
      </c>
      <c r="C235">
        <v>9505.38</v>
      </c>
      <c r="M235" s="83"/>
      <c r="N235" s="83"/>
    </row>
    <row r="236" spans="2:14" ht="12.75">
      <c r="B236">
        <v>580620318</v>
      </c>
      <c r="C236">
        <v>5757.97</v>
      </c>
      <c r="M236" s="83"/>
      <c r="N236" s="83"/>
    </row>
    <row r="237" spans="2:14" ht="12.75">
      <c r="B237">
        <v>580621241</v>
      </c>
      <c r="C237">
        <v>38491.94</v>
      </c>
      <c r="M237" s="83"/>
      <c r="N237" s="83"/>
    </row>
    <row r="238" spans="2:14" ht="12.75">
      <c r="B238">
        <v>580621274</v>
      </c>
      <c r="C238">
        <v>22398.3</v>
      </c>
      <c r="M238" s="83"/>
      <c r="N238" s="83"/>
    </row>
    <row r="239" spans="2:14" ht="12.75">
      <c r="B239">
        <v>580624765</v>
      </c>
      <c r="C239">
        <v>47657.43</v>
      </c>
      <c r="M239" s="83"/>
      <c r="N239" s="83"/>
    </row>
    <row r="240" spans="2:14" ht="12.75">
      <c r="B240">
        <v>580625739</v>
      </c>
      <c r="C240">
        <v>10899.97</v>
      </c>
      <c r="M240" s="83"/>
      <c r="N240" s="83"/>
    </row>
    <row r="241" spans="2:14" ht="12.75">
      <c r="B241">
        <v>580626471</v>
      </c>
      <c r="C241">
        <v>64142.13</v>
      </c>
      <c r="M241" s="83"/>
      <c r="N241" s="83"/>
    </row>
    <row r="242" spans="2:14" ht="12.75">
      <c r="B242">
        <v>580626489</v>
      </c>
      <c r="C242">
        <v>31402.92</v>
      </c>
      <c r="M242" s="83"/>
      <c r="N242" s="83"/>
    </row>
    <row r="243" spans="2:14" ht="12.75">
      <c r="B243">
        <v>580626687</v>
      </c>
      <c r="C243">
        <v>21585.98</v>
      </c>
      <c r="M243" s="83"/>
      <c r="N243" s="83"/>
    </row>
    <row r="244" spans="2:3" ht="12.75">
      <c r="B244">
        <v>580627669</v>
      </c>
      <c r="C244">
        <v>18322.34</v>
      </c>
    </row>
    <row r="245" spans="2:3" ht="12.75">
      <c r="B245">
        <v>580628659</v>
      </c>
      <c r="C245">
        <v>17176.96</v>
      </c>
    </row>
    <row r="246" spans="2:14" ht="12.75">
      <c r="B246">
        <v>580629962</v>
      </c>
      <c r="C246">
        <v>153364.01</v>
      </c>
      <c r="M246" s="83"/>
      <c r="N246" s="83"/>
    </row>
    <row r="247" spans="2:14" ht="12.75">
      <c r="B247">
        <v>580632495</v>
      </c>
      <c r="C247">
        <v>19666.94</v>
      </c>
      <c r="M247" s="83"/>
      <c r="N247" s="83"/>
    </row>
    <row r="248" spans="2:14" ht="12.75">
      <c r="B248">
        <v>580632503</v>
      </c>
      <c r="C248">
        <v>30649.46</v>
      </c>
      <c r="M248" s="83"/>
      <c r="N248" s="83"/>
    </row>
    <row r="249" spans="2:14" ht="12.75">
      <c r="B249">
        <v>580632974</v>
      </c>
      <c r="C249">
        <v>30348.84</v>
      </c>
      <c r="M249" s="83"/>
      <c r="N249" s="83"/>
    </row>
    <row r="250" spans="2:14" ht="12.75">
      <c r="B250">
        <v>580634335</v>
      </c>
      <c r="C250">
        <v>71224.29</v>
      </c>
      <c r="M250" s="83"/>
      <c r="N250" s="83"/>
    </row>
    <row r="251" spans="2:14" ht="12.75">
      <c r="B251">
        <v>580635498</v>
      </c>
      <c r="C251">
        <v>9980.09</v>
      </c>
      <c r="M251" s="83"/>
      <c r="N251" s="83"/>
    </row>
    <row r="252" spans="2:14" ht="12.75">
      <c r="B252">
        <v>580638898</v>
      </c>
      <c r="C252">
        <v>10677.82</v>
      </c>
      <c r="M252" s="83"/>
      <c r="N252" s="83"/>
    </row>
    <row r="253" spans="2:3" ht="12.75">
      <c r="B253">
        <v>580639656</v>
      </c>
      <c r="C253">
        <v>16953.65</v>
      </c>
    </row>
    <row r="254" spans="2:3" ht="12.75">
      <c r="B254">
        <v>580640084</v>
      </c>
      <c r="C254">
        <v>16860.46</v>
      </c>
    </row>
    <row r="255" spans="2:3" ht="12.75">
      <c r="B255">
        <v>580640266</v>
      </c>
      <c r="C255">
        <v>21297.46</v>
      </c>
    </row>
    <row r="256" spans="2:14" ht="12.75">
      <c r="B256">
        <v>580641579</v>
      </c>
      <c r="C256">
        <v>69710.02</v>
      </c>
      <c r="M256" s="83"/>
      <c r="N256" s="83"/>
    </row>
    <row r="257" spans="2:14" ht="12.75">
      <c r="B257">
        <v>580641603</v>
      </c>
      <c r="C257">
        <v>2712.6</v>
      </c>
      <c r="M257" s="83"/>
      <c r="N257" s="83"/>
    </row>
    <row r="258" spans="2:14" ht="12.75">
      <c r="B258">
        <v>580641892</v>
      </c>
      <c r="C258">
        <v>22452.54</v>
      </c>
      <c r="M258" s="83"/>
      <c r="N258" s="83"/>
    </row>
    <row r="259" spans="2:14" ht="12.75">
      <c r="B259">
        <v>580643369</v>
      </c>
      <c r="C259">
        <v>64590.65</v>
      </c>
      <c r="M259" s="83"/>
      <c r="N259" s="83"/>
    </row>
    <row r="260" spans="2:14" ht="12.75">
      <c r="B260">
        <v>580644839</v>
      </c>
      <c r="C260">
        <v>5656.06</v>
      </c>
      <c r="M260" s="83"/>
      <c r="N260" s="83"/>
    </row>
    <row r="261" spans="2:14" ht="12.75">
      <c r="B261">
        <v>580645711</v>
      </c>
      <c r="C261">
        <v>115032.68</v>
      </c>
      <c r="M261" s="83"/>
      <c r="N261" s="83"/>
    </row>
    <row r="262" spans="2:14" ht="12.75">
      <c r="B262">
        <v>580646602</v>
      </c>
      <c r="C262">
        <v>14289</v>
      </c>
      <c r="M262" s="83"/>
      <c r="N262" s="83"/>
    </row>
    <row r="263" spans="2:14" ht="12.75">
      <c r="B263">
        <v>580647774</v>
      </c>
      <c r="C263">
        <v>8396.97</v>
      </c>
      <c r="M263" s="83"/>
      <c r="N263" s="83"/>
    </row>
    <row r="264" spans="2:14" ht="12.75">
      <c r="B264">
        <v>580648889</v>
      </c>
      <c r="C264">
        <v>65701.14</v>
      </c>
      <c r="M264" s="83"/>
      <c r="N264" s="83"/>
    </row>
    <row r="265" spans="2:3" ht="12.75">
      <c r="B265">
        <v>580649291</v>
      </c>
      <c r="C265">
        <v>44965.5</v>
      </c>
    </row>
    <row r="266" spans="2:3" ht="12.75">
      <c r="B266">
        <v>580649358</v>
      </c>
      <c r="C266">
        <v>74148.18</v>
      </c>
    </row>
    <row r="267" spans="2:3" ht="12.75">
      <c r="B267">
        <v>580650935</v>
      </c>
      <c r="C267">
        <v>21297.46</v>
      </c>
    </row>
    <row r="268" spans="2:3" ht="12.75">
      <c r="B268">
        <v>580652600</v>
      </c>
      <c r="C268">
        <v>13725.71</v>
      </c>
    </row>
    <row r="269" spans="2:3" ht="12.75">
      <c r="B269">
        <v>580653376</v>
      </c>
      <c r="C269">
        <v>10821.44</v>
      </c>
    </row>
    <row r="270" spans="2:3" ht="12.75">
      <c r="B270">
        <v>580653756</v>
      </c>
      <c r="C270">
        <v>36998.51</v>
      </c>
    </row>
    <row r="271" spans="2:3" ht="12.75">
      <c r="B271">
        <v>580655447</v>
      </c>
      <c r="C271">
        <v>2959.55</v>
      </c>
    </row>
    <row r="272" spans="2:3" ht="12.75">
      <c r="B272">
        <v>580660108</v>
      </c>
      <c r="C272">
        <v>63368.67</v>
      </c>
    </row>
    <row r="273" spans="2:3" ht="12.75">
      <c r="B273">
        <v>580661676</v>
      </c>
      <c r="C273">
        <v>11630.28</v>
      </c>
    </row>
    <row r="274" spans="2:3" ht="12.75">
      <c r="B274">
        <v>580664654</v>
      </c>
      <c r="C274">
        <v>40088.83</v>
      </c>
    </row>
    <row r="275" spans="2:3" ht="12.75">
      <c r="B275">
        <v>580664837</v>
      </c>
      <c r="C275">
        <v>24447.2</v>
      </c>
    </row>
    <row r="276" spans="2:3" ht="12.75">
      <c r="B276">
        <v>580665933</v>
      </c>
      <c r="C276">
        <v>21220</v>
      </c>
    </row>
    <row r="277" spans="2:3" ht="12.75">
      <c r="B277">
        <v>580666113</v>
      </c>
      <c r="C277">
        <v>9560.81</v>
      </c>
    </row>
    <row r="278" spans="2:3" ht="12.75">
      <c r="B278">
        <v>580666352</v>
      </c>
      <c r="C278">
        <v>24447.2</v>
      </c>
    </row>
    <row r="279" spans="2:3" ht="12.75">
      <c r="B279">
        <v>580667665</v>
      </c>
      <c r="C279">
        <v>9335.2</v>
      </c>
    </row>
    <row r="280" spans="2:3" ht="12.75">
      <c r="B280">
        <v>580667707</v>
      </c>
      <c r="C280">
        <v>5259.79</v>
      </c>
    </row>
    <row r="281" spans="2:3" ht="12.75">
      <c r="B281">
        <v>580669257</v>
      </c>
      <c r="C281">
        <v>4329.77</v>
      </c>
    </row>
    <row r="282" spans="2:3" ht="12.75">
      <c r="B282">
        <v>580670412</v>
      </c>
      <c r="C282">
        <v>9111.16</v>
      </c>
    </row>
    <row r="283" spans="2:3" ht="12.75">
      <c r="B283">
        <v>580671311</v>
      </c>
      <c r="C283">
        <v>4167.24</v>
      </c>
    </row>
    <row r="284" spans="2:3" ht="12.75">
      <c r="B284">
        <v>580675528</v>
      </c>
      <c r="C284">
        <v>11659.19</v>
      </c>
    </row>
    <row r="285" spans="2:3" ht="12.75">
      <c r="B285">
        <v>580676138</v>
      </c>
      <c r="C285">
        <v>2794.79</v>
      </c>
    </row>
    <row r="286" spans="2:3" ht="12.75">
      <c r="B286">
        <v>580676583</v>
      </c>
      <c r="C286">
        <v>13585.66</v>
      </c>
    </row>
    <row r="287" spans="2:3" ht="12.75">
      <c r="B287">
        <v>580677243</v>
      </c>
      <c r="C287">
        <v>21220</v>
      </c>
    </row>
    <row r="288" spans="2:3" ht="12.75">
      <c r="B288">
        <v>580677896</v>
      </c>
      <c r="C288">
        <v>2504.66</v>
      </c>
    </row>
    <row r="289" spans="2:3" ht="12.75">
      <c r="B289">
        <v>580687143</v>
      </c>
      <c r="C289">
        <v>36241.6</v>
      </c>
    </row>
    <row r="290" spans="2:3" ht="12.75">
      <c r="B290">
        <v>581052728</v>
      </c>
      <c r="C290">
        <v>35557</v>
      </c>
    </row>
    <row r="295" spans="13:14" ht="12.75">
      <c r="M295" s="83"/>
      <c r="N295" s="83"/>
    </row>
    <row r="296" spans="13:14" ht="12.75">
      <c r="M296" s="83"/>
      <c r="N296" s="83"/>
    </row>
    <row r="297" spans="13:14" ht="12.75">
      <c r="M297" s="83"/>
      <c r="N297" s="83"/>
    </row>
    <row r="298" spans="13:14" ht="12.75">
      <c r="M298" s="83"/>
      <c r="N298" s="83"/>
    </row>
    <row r="299" spans="13:14" ht="12.75">
      <c r="M299" s="83"/>
      <c r="N299" s="83"/>
    </row>
    <row r="300" spans="13:14" ht="12.75">
      <c r="M300" s="83"/>
      <c r="N300" s="83"/>
    </row>
    <row r="301" spans="13:14" ht="12.75">
      <c r="M301" s="83"/>
      <c r="N301" s="83"/>
    </row>
    <row r="302" spans="13:14" ht="12.75">
      <c r="M302" s="83"/>
      <c r="N302" s="83"/>
    </row>
    <row r="303" spans="13:14" ht="12.75">
      <c r="M303" s="83"/>
      <c r="N303" s="83"/>
    </row>
    <row r="304" spans="13:14" ht="12.75">
      <c r="M304" s="83"/>
      <c r="N304" s="83"/>
    </row>
    <row r="305" spans="13:14" ht="12.75">
      <c r="M305" s="83"/>
      <c r="N305" s="83"/>
    </row>
    <row r="307" spans="13:14" ht="12.75">
      <c r="M307" s="83"/>
      <c r="N307" s="83"/>
    </row>
    <row r="308" spans="13:14" ht="12.75">
      <c r="M308" s="83"/>
      <c r="N308" s="83"/>
    </row>
    <row r="309" spans="13:14" ht="12.75">
      <c r="M309" s="83"/>
      <c r="N309" s="83"/>
    </row>
    <row r="310" spans="13:14" ht="12.75">
      <c r="M310" s="83"/>
      <c r="N310" s="83"/>
    </row>
    <row r="311" spans="13:14" ht="12.75">
      <c r="M311" s="83"/>
      <c r="N311" s="83"/>
    </row>
    <row r="312" spans="13:14" ht="12.75">
      <c r="M312" s="83"/>
      <c r="N312" s="83"/>
    </row>
    <row r="313" spans="13:14" ht="12.75">
      <c r="M313" s="83"/>
      <c r="N313" s="83"/>
    </row>
    <row r="314" spans="13:14" ht="12.75">
      <c r="M314" s="83"/>
      <c r="N314" s="83"/>
    </row>
    <row r="315" spans="13:14" ht="12.75">
      <c r="M315" s="83"/>
      <c r="N315" s="83"/>
    </row>
    <row r="316" spans="13:14" ht="12.75">
      <c r="M316" s="83"/>
      <c r="N316" s="83"/>
    </row>
    <row r="319" spans="13:14" ht="12.75">
      <c r="M319" s="83"/>
      <c r="N319" s="83"/>
    </row>
    <row r="320" spans="13:14" ht="12.75">
      <c r="M320" s="83"/>
      <c r="N320" s="83"/>
    </row>
    <row r="321" spans="13:14" ht="12.75">
      <c r="M321" s="83"/>
      <c r="N321" s="83"/>
    </row>
    <row r="322" spans="13:14" ht="12.75">
      <c r="M322" s="83"/>
      <c r="N322" s="83"/>
    </row>
    <row r="323" spans="13:14" ht="12.75">
      <c r="M323" s="83"/>
      <c r="N323" s="83"/>
    </row>
    <row r="327" spans="13:14" ht="12.75">
      <c r="M327" s="83"/>
      <c r="N327" s="83"/>
    </row>
    <row r="328" spans="13:14" ht="12.75">
      <c r="M328" s="83"/>
      <c r="N328" s="83"/>
    </row>
    <row r="350" spans="13:14" ht="12.75">
      <c r="M350" s="83"/>
      <c r="N350" s="83"/>
    </row>
    <row r="352" spans="13:14" ht="12.75">
      <c r="M352" s="83"/>
      <c r="N352" s="83"/>
    </row>
    <row r="353" spans="13:14" ht="12.75">
      <c r="M353" s="83"/>
      <c r="N353" s="83"/>
    </row>
    <row r="354" spans="13:14" ht="12.75">
      <c r="M354" s="83"/>
      <c r="N354" s="83"/>
    </row>
    <row r="355" spans="13:14" ht="12.75">
      <c r="M355" s="83"/>
      <c r="N355" s="83"/>
    </row>
    <row r="371" spans="13:14" ht="12.75">
      <c r="M371" s="83"/>
      <c r="N371" s="83"/>
    </row>
    <row r="372" spans="13:14" ht="12.75">
      <c r="M372" s="83"/>
      <c r="N372" s="83"/>
    </row>
    <row r="373" spans="13:14" ht="12.75">
      <c r="M373" s="83"/>
      <c r="N373" s="83"/>
    </row>
    <row r="374" spans="13:14" ht="12.75">
      <c r="M374" s="83"/>
      <c r="N374" s="83"/>
    </row>
    <row r="377" spans="13:14" ht="12.75">
      <c r="M377" s="83"/>
      <c r="N377" s="83"/>
    </row>
    <row r="378" spans="13:14" ht="12.75">
      <c r="M378" s="83"/>
      <c r="N378" s="83"/>
    </row>
    <row r="379" spans="13:14" ht="12.75">
      <c r="M379" s="83"/>
      <c r="N379" s="83"/>
    </row>
    <row r="383" spans="13:14" ht="12.75">
      <c r="M383" s="83"/>
      <c r="N383" s="83"/>
    </row>
    <row r="384" spans="13:14" ht="12.75">
      <c r="M384" s="83"/>
      <c r="N384" s="83"/>
    </row>
    <row r="385" spans="13:14" ht="12.75">
      <c r="M385" s="83"/>
      <c r="N385" s="83"/>
    </row>
    <row r="386" spans="13:14" ht="12.75">
      <c r="M386" s="83"/>
      <c r="N386" s="83"/>
    </row>
    <row r="390" spans="13:14" ht="12.75">
      <c r="M390" s="83"/>
      <c r="N390" s="83"/>
    </row>
    <row r="391" spans="13:14" ht="12.75">
      <c r="M391" s="83"/>
      <c r="N391" s="83"/>
    </row>
    <row r="392" spans="13:14" ht="12.75">
      <c r="M392" s="83"/>
      <c r="N392" s="83"/>
    </row>
    <row r="393" spans="13:14" ht="12.75">
      <c r="M393" s="83"/>
      <c r="N393" s="83"/>
    </row>
    <row r="394" spans="13:14" ht="12.75">
      <c r="M394" s="83"/>
      <c r="N394" s="83"/>
    </row>
    <row r="395" spans="13:14" ht="12.75">
      <c r="M395" s="83"/>
      <c r="N395" s="83"/>
    </row>
    <row r="429" spans="13:14" ht="12.75">
      <c r="M429" s="83"/>
      <c r="N429" s="83"/>
    </row>
    <row r="430" spans="13:14" ht="12.75">
      <c r="M430" s="83"/>
      <c r="N430" s="83"/>
    </row>
    <row r="431" spans="13:14" ht="12.75">
      <c r="M431" s="83"/>
      <c r="N431" s="83"/>
    </row>
  </sheetData>
  <sheetProtection/>
  <autoFilter ref="M14:N432"/>
  <mergeCells count="2">
    <mergeCell ref="B2:C2"/>
    <mergeCell ref="B14:C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3"/>
  <sheetViews>
    <sheetView rightToLeft="1" zoomScalePageLayoutView="0" workbookViewId="0" topLeftCell="A80">
      <selection activeCell="B104" sqref="B104"/>
    </sheetView>
  </sheetViews>
  <sheetFormatPr defaultColWidth="9.140625" defaultRowHeight="12.75"/>
  <cols>
    <col min="1" max="1" width="5.7109375" style="0" bestFit="1" customWidth="1"/>
    <col min="2" max="2" width="10.00390625" style="0" bestFit="1" customWidth="1"/>
    <col min="3" max="3" width="42.140625" style="0" bestFit="1" customWidth="1"/>
    <col min="4" max="4" width="10.28125" style="0" bestFit="1" customWidth="1"/>
    <col min="7" max="7" width="5.421875" style="0" customWidth="1"/>
    <col min="8" max="8" width="51.28125" style="0" bestFit="1" customWidth="1"/>
    <col min="9" max="9" width="10.57421875" style="0" bestFit="1" customWidth="1"/>
    <col min="10" max="10" width="10.00390625" style="0" bestFit="1" customWidth="1"/>
  </cols>
  <sheetData>
    <row r="1" spans="1:10" ht="15.75">
      <c r="A1" s="245" t="s">
        <v>911</v>
      </c>
      <c r="B1" s="245"/>
      <c r="C1" s="245"/>
      <c r="D1" s="245"/>
      <c r="G1" s="246" t="s">
        <v>1044</v>
      </c>
      <c r="H1" s="247"/>
      <c r="I1" s="247"/>
      <c r="J1" s="248"/>
    </row>
    <row r="3" spans="1:10" ht="12.75">
      <c r="A3" s="1" t="s">
        <v>773</v>
      </c>
      <c r="B3" s="1" t="s">
        <v>812</v>
      </c>
      <c r="C3" s="1" t="s">
        <v>47</v>
      </c>
      <c r="D3" s="1" t="s">
        <v>910</v>
      </c>
      <c r="G3" s="106" t="s">
        <v>773</v>
      </c>
      <c r="H3" s="1" t="s">
        <v>47</v>
      </c>
      <c r="I3" s="1" t="s">
        <v>25</v>
      </c>
      <c r="J3" s="70" t="s">
        <v>1046</v>
      </c>
    </row>
    <row r="4" spans="1:10" ht="12.75">
      <c r="A4" s="1">
        <v>1</v>
      </c>
      <c r="B4" s="1">
        <v>580459048</v>
      </c>
      <c r="C4" s="1" t="s">
        <v>851</v>
      </c>
      <c r="D4" s="72">
        <v>300040.54</v>
      </c>
      <c r="G4" s="107">
        <v>1</v>
      </c>
      <c r="H4" s="1" t="s">
        <v>916</v>
      </c>
      <c r="I4" s="1">
        <v>580023679</v>
      </c>
      <c r="J4" s="1">
        <v>1387.6</v>
      </c>
    </row>
    <row r="5" spans="1:10" ht="12.75">
      <c r="A5" s="1">
        <v>2</v>
      </c>
      <c r="B5" s="1">
        <v>580463123</v>
      </c>
      <c r="C5" s="1" t="s">
        <v>855</v>
      </c>
      <c r="D5" s="72">
        <v>293276.48</v>
      </c>
      <c r="G5" s="107">
        <v>2</v>
      </c>
      <c r="H5" s="1" t="s">
        <v>915</v>
      </c>
      <c r="I5" s="1">
        <v>580007656</v>
      </c>
      <c r="J5" s="1">
        <v>2299.8</v>
      </c>
    </row>
    <row r="6" spans="1:10" ht="12.75">
      <c r="A6" s="1">
        <v>3</v>
      </c>
      <c r="B6" s="1">
        <v>513698134</v>
      </c>
      <c r="C6" s="1" t="s">
        <v>815</v>
      </c>
      <c r="D6" s="72">
        <v>217513.4</v>
      </c>
      <c r="G6" s="107">
        <v>3</v>
      </c>
      <c r="H6" s="1" t="s">
        <v>924</v>
      </c>
      <c r="I6" s="1">
        <v>580082568</v>
      </c>
      <c r="J6" s="1">
        <v>2299.8</v>
      </c>
    </row>
    <row r="7" spans="1:10" ht="12.75">
      <c r="A7" s="1">
        <v>4</v>
      </c>
      <c r="B7" s="1">
        <v>580290948</v>
      </c>
      <c r="C7" s="1" t="s">
        <v>829</v>
      </c>
      <c r="D7" s="72">
        <v>191677.13</v>
      </c>
      <c r="G7" s="107">
        <v>4</v>
      </c>
      <c r="H7" s="1" t="s">
        <v>925</v>
      </c>
      <c r="I7" s="1">
        <v>580082576</v>
      </c>
      <c r="J7" s="1">
        <v>2299.8</v>
      </c>
    </row>
    <row r="8" spans="1:10" ht="12.75">
      <c r="A8" s="1">
        <v>5</v>
      </c>
      <c r="B8" s="1">
        <v>511653354</v>
      </c>
      <c r="C8" s="1" t="s">
        <v>814</v>
      </c>
      <c r="D8" s="72">
        <v>180504.71</v>
      </c>
      <c r="G8" s="107">
        <v>5</v>
      </c>
      <c r="H8" s="1" t="s">
        <v>1008</v>
      </c>
      <c r="I8" s="1">
        <v>580580181</v>
      </c>
      <c r="J8" s="1">
        <v>2737.84</v>
      </c>
    </row>
    <row r="9" spans="1:10" ht="12.75">
      <c r="A9" s="1">
        <v>6</v>
      </c>
      <c r="B9" s="1">
        <v>580487320</v>
      </c>
      <c r="C9" s="1" t="s">
        <v>860</v>
      </c>
      <c r="D9" s="72">
        <v>170692.95</v>
      </c>
      <c r="G9" s="107">
        <v>6</v>
      </c>
      <c r="H9" s="1" t="s">
        <v>989</v>
      </c>
      <c r="I9" s="1">
        <v>580521847</v>
      </c>
      <c r="J9" s="1">
        <v>3029.26</v>
      </c>
    </row>
    <row r="10" spans="1:10" ht="12.75">
      <c r="A10" s="1">
        <v>7</v>
      </c>
      <c r="B10" s="1">
        <v>580274629</v>
      </c>
      <c r="C10" s="1" t="s">
        <v>827</v>
      </c>
      <c r="D10" s="72">
        <v>169402.34</v>
      </c>
      <c r="G10" s="107">
        <v>7</v>
      </c>
      <c r="H10" s="1" t="s">
        <v>937</v>
      </c>
      <c r="I10" s="1">
        <v>580253532</v>
      </c>
      <c r="J10" s="1">
        <v>4236.78</v>
      </c>
    </row>
    <row r="11" spans="1:10" ht="12.75">
      <c r="A11" s="1">
        <v>8</v>
      </c>
      <c r="B11" s="1">
        <v>580490175</v>
      </c>
      <c r="C11" s="1" t="s">
        <v>861</v>
      </c>
      <c r="D11" s="72">
        <v>113120.94</v>
      </c>
      <c r="G11" s="107">
        <v>8</v>
      </c>
      <c r="H11" s="1" t="s">
        <v>918</v>
      </c>
      <c r="I11" s="1">
        <v>580036515</v>
      </c>
      <c r="J11" s="1">
        <v>4353.45</v>
      </c>
    </row>
    <row r="12" spans="1:10" ht="12.75">
      <c r="A12" s="1">
        <v>9</v>
      </c>
      <c r="B12" s="1">
        <v>580398782</v>
      </c>
      <c r="C12" s="1" t="s">
        <v>838</v>
      </c>
      <c r="D12" s="72">
        <v>91981.6</v>
      </c>
      <c r="G12" s="107">
        <v>9</v>
      </c>
      <c r="H12" s="1" t="s">
        <v>914</v>
      </c>
      <c r="I12" s="1">
        <v>514918143</v>
      </c>
      <c r="J12" s="1">
        <v>4901.33</v>
      </c>
    </row>
    <row r="13" spans="1:10" ht="12.75">
      <c r="A13" s="1">
        <v>10</v>
      </c>
      <c r="B13" s="1">
        <v>580380855</v>
      </c>
      <c r="C13" s="1" t="s">
        <v>835</v>
      </c>
      <c r="D13" s="72">
        <v>79254.48</v>
      </c>
      <c r="G13" s="107">
        <v>10</v>
      </c>
      <c r="H13" s="1" t="s">
        <v>930</v>
      </c>
      <c r="I13" s="1">
        <v>580195626</v>
      </c>
      <c r="J13" s="1">
        <v>5079.02</v>
      </c>
    </row>
    <row r="14" spans="1:10" ht="12.75">
      <c r="A14" s="1">
        <v>11</v>
      </c>
      <c r="B14" s="1">
        <v>580414803</v>
      </c>
      <c r="C14" s="1" t="s">
        <v>843</v>
      </c>
      <c r="D14" s="72">
        <v>69129.45</v>
      </c>
      <c r="G14" s="107">
        <v>11</v>
      </c>
      <c r="H14" s="1" t="s">
        <v>1021</v>
      </c>
      <c r="I14" s="1">
        <v>580609105</v>
      </c>
      <c r="J14" s="1">
        <v>5214.05</v>
      </c>
    </row>
    <row r="15" spans="1:10" ht="12.75">
      <c r="A15" s="1">
        <v>12</v>
      </c>
      <c r="B15" s="1">
        <v>580648889</v>
      </c>
      <c r="C15" s="1" t="s">
        <v>890</v>
      </c>
      <c r="D15" s="72">
        <v>65701.14</v>
      </c>
      <c r="G15" s="107">
        <v>12</v>
      </c>
      <c r="H15" s="1" t="s">
        <v>981</v>
      </c>
      <c r="I15" s="1">
        <v>580474062</v>
      </c>
      <c r="J15" s="1">
        <v>5367.49</v>
      </c>
    </row>
    <row r="16" spans="1:10" ht="12.75">
      <c r="A16" s="1">
        <v>13</v>
      </c>
      <c r="B16" s="1">
        <v>580241610</v>
      </c>
      <c r="C16" s="1" t="s">
        <v>825</v>
      </c>
      <c r="D16" s="72">
        <v>65638.08</v>
      </c>
      <c r="G16" s="107">
        <v>13</v>
      </c>
      <c r="H16" s="1" t="s">
        <v>919</v>
      </c>
      <c r="I16" s="1">
        <v>580040376</v>
      </c>
      <c r="J16" s="1">
        <v>5713.78</v>
      </c>
    </row>
    <row r="17" spans="1:10" ht="12.75">
      <c r="A17" s="1">
        <v>14</v>
      </c>
      <c r="B17" s="1">
        <v>580407773</v>
      </c>
      <c r="C17" s="1" t="s">
        <v>840</v>
      </c>
      <c r="D17" s="72">
        <v>64066.94</v>
      </c>
      <c r="G17" s="107">
        <v>14</v>
      </c>
      <c r="H17" s="1" t="s">
        <v>1015</v>
      </c>
      <c r="I17" s="1">
        <v>580600328</v>
      </c>
      <c r="J17" s="1">
        <v>6431.59</v>
      </c>
    </row>
    <row r="18" spans="1:10" ht="12.75">
      <c r="A18" s="1">
        <v>15</v>
      </c>
      <c r="B18" s="1">
        <v>580419307</v>
      </c>
      <c r="C18" s="1" t="s">
        <v>845</v>
      </c>
      <c r="D18" s="72">
        <v>58323.24</v>
      </c>
      <c r="G18" s="107">
        <v>15</v>
      </c>
      <c r="H18" s="1" t="s">
        <v>933</v>
      </c>
      <c r="I18" s="1">
        <v>580223543</v>
      </c>
      <c r="J18" s="1">
        <v>7016.85</v>
      </c>
    </row>
    <row r="19" spans="1:10" ht="12.75">
      <c r="A19" s="1">
        <v>16</v>
      </c>
      <c r="B19" s="1">
        <v>580367167</v>
      </c>
      <c r="C19" s="1" t="s">
        <v>833</v>
      </c>
      <c r="D19" s="72">
        <v>58081.91</v>
      </c>
      <c r="G19" s="107">
        <v>16</v>
      </c>
      <c r="H19" s="1" t="s">
        <v>1016</v>
      </c>
      <c r="I19" s="1">
        <v>580600583</v>
      </c>
      <c r="J19" s="1">
        <v>7057.43</v>
      </c>
    </row>
    <row r="20" spans="1:10" ht="12.75">
      <c r="A20" s="1">
        <v>17</v>
      </c>
      <c r="B20" s="1">
        <v>580506574</v>
      </c>
      <c r="C20" s="1" t="s">
        <v>865</v>
      </c>
      <c r="D20" s="72">
        <v>47482.86</v>
      </c>
      <c r="G20" s="107">
        <v>17</v>
      </c>
      <c r="H20" s="1" t="s">
        <v>1022</v>
      </c>
      <c r="I20" s="1">
        <v>580610210</v>
      </c>
      <c r="J20" s="1">
        <v>7912.32</v>
      </c>
    </row>
    <row r="21" spans="1:10" ht="12.75">
      <c r="A21" s="1">
        <v>18</v>
      </c>
      <c r="B21" s="1">
        <v>580664654</v>
      </c>
      <c r="C21" s="1" t="s">
        <v>896</v>
      </c>
      <c r="D21" s="72">
        <v>40088.83</v>
      </c>
      <c r="G21" s="107">
        <v>18</v>
      </c>
      <c r="H21" s="1" t="s">
        <v>1024</v>
      </c>
      <c r="I21" s="1">
        <v>580616118</v>
      </c>
      <c r="J21" s="1">
        <v>9505.38</v>
      </c>
    </row>
    <row r="22" spans="1:10" ht="12.75">
      <c r="A22" s="1">
        <v>19</v>
      </c>
      <c r="B22" s="1">
        <v>580234581</v>
      </c>
      <c r="C22" s="1" t="s">
        <v>824</v>
      </c>
      <c r="D22" s="72">
        <v>37970.73</v>
      </c>
      <c r="G22" s="107">
        <v>19</v>
      </c>
      <c r="H22" s="1" t="s">
        <v>931</v>
      </c>
      <c r="I22" s="1">
        <v>580205383</v>
      </c>
      <c r="J22" s="1">
        <v>10346.59</v>
      </c>
    </row>
    <row r="23" spans="1:10" ht="12.75">
      <c r="A23" s="1">
        <v>20</v>
      </c>
      <c r="B23" s="1">
        <v>580168136</v>
      </c>
      <c r="C23" s="1" t="s">
        <v>822</v>
      </c>
      <c r="D23" s="72">
        <v>36871.23</v>
      </c>
      <c r="G23" s="107">
        <v>20</v>
      </c>
      <c r="H23" s="1" t="s">
        <v>1035</v>
      </c>
      <c r="I23" s="1">
        <v>580638898</v>
      </c>
      <c r="J23" s="1">
        <v>10677.82</v>
      </c>
    </row>
    <row r="24" spans="1:10" ht="12.75">
      <c r="A24" s="1">
        <v>21</v>
      </c>
      <c r="B24" s="1">
        <v>580687143</v>
      </c>
      <c r="C24" s="1" t="s">
        <v>908</v>
      </c>
      <c r="D24" s="72">
        <v>36241.6</v>
      </c>
      <c r="G24" s="107">
        <v>21</v>
      </c>
      <c r="H24" s="1" t="s">
        <v>1028</v>
      </c>
      <c r="I24" s="1">
        <v>580625739</v>
      </c>
      <c r="J24" s="1">
        <v>10899.97</v>
      </c>
    </row>
    <row r="25" spans="1:10" ht="12.75">
      <c r="A25" s="1">
        <v>22</v>
      </c>
      <c r="B25" s="1">
        <v>510978422</v>
      </c>
      <c r="C25" s="1" t="s">
        <v>813</v>
      </c>
      <c r="D25" s="72">
        <v>35557</v>
      </c>
      <c r="G25" s="107">
        <v>22</v>
      </c>
      <c r="H25" s="1" t="s">
        <v>983</v>
      </c>
      <c r="I25" s="1">
        <v>580484236</v>
      </c>
      <c r="J25" s="1">
        <v>11173.86</v>
      </c>
    </row>
    <row r="26" spans="1:10" ht="12.75">
      <c r="A26" s="1">
        <v>23</v>
      </c>
      <c r="B26" s="1">
        <v>580353431</v>
      </c>
      <c r="C26" s="1" t="s">
        <v>832</v>
      </c>
      <c r="D26" s="72">
        <v>34520.94</v>
      </c>
      <c r="G26" s="107">
        <v>23</v>
      </c>
      <c r="H26" s="1" t="s">
        <v>945</v>
      </c>
      <c r="I26" s="1">
        <v>580330603</v>
      </c>
      <c r="J26" s="1">
        <v>11207.04</v>
      </c>
    </row>
    <row r="27" spans="1:10" ht="12.75">
      <c r="A27" s="1">
        <v>24</v>
      </c>
      <c r="B27" s="1">
        <v>580613578</v>
      </c>
      <c r="C27" s="1" t="s">
        <v>878</v>
      </c>
      <c r="D27" s="72">
        <v>31422.48</v>
      </c>
      <c r="G27" s="107">
        <v>24</v>
      </c>
      <c r="H27" s="1" t="s">
        <v>954</v>
      </c>
      <c r="I27" s="1">
        <v>580381440</v>
      </c>
      <c r="J27" s="1">
        <v>11585.94</v>
      </c>
    </row>
    <row r="28" spans="1:10" ht="12.75">
      <c r="A28" s="1">
        <v>25</v>
      </c>
      <c r="B28" s="1">
        <v>580621274</v>
      </c>
      <c r="C28" s="1" t="s">
        <v>881</v>
      </c>
      <c r="D28" s="72">
        <v>22398.3</v>
      </c>
      <c r="G28" s="107">
        <v>25</v>
      </c>
      <c r="H28" s="1" t="s">
        <v>1042</v>
      </c>
      <c r="I28" s="1">
        <v>580652600</v>
      </c>
      <c r="J28" s="1">
        <v>13725.71</v>
      </c>
    </row>
    <row r="29" spans="1:10" ht="12.75">
      <c r="A29" s="1">
        <v>26</v>
      </c>
      <c r="B29" s="1">
        <v>580665933</v>
      </c>
      <c r="C29" s="1" t="s">
        <v>898</v>
      </c>
      <c r="D29" s="72">
        <v>21220</v>
      </c>
      <c r="G29" s="107">
        <v>26</v>
      </c>
      <c r="H29" s="1" t="s">
        <v>928</v>
      </c>
      <c r="I29" s="1">
        <v>580112977</v>
      </c>
      <c r="J29" s="1">
        <v>13858.74</v>
      </c>
    </row>
    <row r="30" spans="1:10" ht="12.75">
      <c r="A30" s="1">
        <v>27</v>
      </c>
      <c r="B30" s="1">
        <v>580677243</v>
      </c>
      <c r="C30" s="1" t="s">
        <v>905</v>
      </c>
      <c r="D30" s="72">
        <v>21220</v>
      </c>
      <c r="G30" s="107">
        <v>27</v>
      </c>
      <c r="H30" s="1" t="s">
        <v>991</v>
      </c>
      <c r="I30" s="1">
        <v>580528214</v>
      </c>
      <c r="J30" s="1">
        <v>13922.2</v>
      </c>
    </row>
    <row r="31" spans="1:10" ht="12.75">
      <c r="A31" s="1">
        <v>28</v>
      </c>
      <c r="B31" s="1">
        <v>580396836</v>
      </c>
      <c r="C31" s="1" t="s">
        <v>837</v>
      </c>
      <c r="D31" s="72">
        <v>19982.59</v>
      </c>
      <c r="G31" s="107">
        <v>28</v>
      </c>
      <c r="H31" s="1" t="s">
        <v>948</v>
      </c>
      <c r="I31" s="1">
        <v>580348589</v>
      </c>
      <c r="J31" s="1">
        <v>14136.43</v>
      </c>
    </row>
    <row r="32" spans="1:10" ht="12.75">
      <c r="A32" s="1">
        <v>29</v>
      </c>
      <c r="B32" s="1">
        <v>580627669</v>
      </c>
      <c r="C32" s="1" t="s">
        <v>884</v>
      </c>
      <c r="D32" s="72">
        <v>18322.34</v>
      </c>
      <c r="G32" s="107">
        <v>29</v>
      </c>
      <c r="H32" s="1" t="s">
        <v>932</v>
      </c>
      <c r="I32" s="1">
        <v>580219624</v>
      </c>
      <c r="J32" s="1">
        <v>14258.07</v>
      </c>
    </row>
    <row r="33" spans="1:10" ht="12.75">
      <c r="A33" s="1">
        <v>30</v>
      </c>
      <c r="B33" s="1">
        <v>580371037</v>
      </c>
      <c r="C33" s="1" t="s">
        <v>834</v>
      </c>
      <c r="D33" s="72">
        <v>18189.07</v>
      </c>
      <c r="G33" s="107">
        <v>30</v>
      </c>
      <c r="H33" s="1" t="s">
        <v>1023</v>
      </c>
      <c r="I33" s="1">
        <v>580612778</v>
      </c>
      <c r="J33" s="1">
        <v>15144.67</v>
      </c>
    </row>
    <row r="34" spans="1:10" ht="12.75">
      <c r="A34" s="1">
        <v>31</v>
      </c>
      <c r="B34" s="1">
        <v>580087625</v>
      </c>
      <c r="C34" s="1" t="s">
        <v>819</v>
      </c>
      <c r="D34" s="72">
        <v>17959.8</v>
      </c>
      <c r="G34" s="107">
        <v>31</v>
      </c>
      <c r="H34" s="1" t="s">
        <v>1011</v>
      </c>
      <c r="I34" s="1">
        <v>580585016</v>
      </c>
      <c r="J34" s="1">
        <v>15343.81</v>
      </c>
    </row>
    <row r="35" spans="1:10" ht="12.75">
      <c r="A35" s="1">
        <v>32</v>
      </c>
      <c r="B35" s="1">
        <v>580596377</v>
      </c>
      <c r="C35" s="1" t="s">
        <v>875</v>
      </c>
      <c r="D35" s="72">
        <v>17483.19</v>
      </c>
      <c r="G35" s="107">
        <v>32</v>
      </c>
      <c r="H35" s="1" t="s">
        <v>1036</v>
      </c>
      <c r="I35" s="1">
        <v>580639656</v>
      </c>
      <c r="J35" s="1">
        <v>16953.65</v>
      </c>
    </row>
    <row r="36" spans="1:10" ht="12.75">
      <c r="A36" s="1">
        <v>33</v>
      </c>
      <c r="B36" s="1">
        <v>580017457</v>
      </c>
      <c r="C36" s="1" t="s">
        <v>816</v>
      </c>
      <c r="D36" s="72">
        <v>16215.2</v>
      </c>
      <c r="G36" s="107">
        <v>33</v>
      </c>
      <c r="H36" s="1" t="s">
        <v>1030</v>
      </c>
      <c r="I36" s="1">
        <v>580628659</v>
      </c>
      <c r="J36" s="1">
        <v>17176.96</v>
      </c>
    </row>
    <row r="37" spans="1:10" ht="12.75">
      <c r="A37" s="1">
        <v>34</v>
      </c>
      <c r="B37" s="1">
        <v>580594935</v>
      </c>
      <c r="C37" s="1" t="s">
        <v>874</v>
      </c>
      <c r="D37" s="72">
        <v>15625</v>
      </c>
      <c r="G37" s="107">
        <v>34</v>
      </c>
      <c r="H37" s="1" t="s">
        <v>990</v>
      </c>
      <c r="I37" s="1">
        <v>580527372</v>
      </c>
      <c r="J37" s="1">
        <v>17525.71</v>
      </c>
    </row>
    <row r="38" spans="1:10" ht="12.75">
      <c r="A38" s="1">
        <v>35</v>
      </c>
      <c r="B38" s="1">
        <v>580646602</v>
      </c>
      <c r="C38" s="1" t="s">
        <v>888</v>
      </c>
      <c r="D38" s="72">
        <v>14289</v>
      </c>
      <c r="G38" s="107">
        <v>35</v>
      </c>
      <c r="H38" s="1" t="s">
        <v>951</v>
      </c>
      <c r="I38" s="1">
        <v>580369015</v>
      </c>
      <c r="J38" s="1">
        <v>17579.66</v>
      </c>
    </row>
    <row r="39" spans="1:10" ht="12.75">
      <c r="A39" s="1">
        <v>36</v>
      </c>
      <c r="B39" s="1">
        <v>580411973</v>
      </c>
      <c r="C39" s="1" t="s">
        <v>842</v>
      </c>
      <c r="D39" s="72">
        <v>14169.96</v>
      </c>
      <c r="G39" s="107">
        <v>36</v>
      </c>
      <c r="H39" s="1" t="s">
        <v>946</v>
      </c>
      <c r="I39" s="1">
        <v>580332799</v>
      </c>
      <c r="J39" s="1">
        <v>18069.55</v>
      </c>
    </row>
    <row r="40" spans="1:10" ht="12.75">
      <c r="A40" s="1">
        <v>37</v>
      </c>
      <c r="B40" s="1">
        <v>580531556</v>
      </c>
      <c r="C40" s="1" t="s">
        <v>869</v>
      </c>
      <c r="D40" s="72">
        <v>13021.98</v>
      </c>
      <c r="G40" s="107">
        <v>37</v>
      </c>
      <c r="H40" s="1" t="s">
        <v>947</v>
      </c>
      <c r="I40" s="1">
        <v>580333243</v>
      </c>
      <c r="J40" s="1">
        <v>18170.08</v>
      </c>
    </row>
    <row r="41" spans="1:10" ht="12.75">
      <c r="A41" s="1">
        <v>38</v>
      </c>
      <c r="B41" s="1">
        <v>580473684</v>
      </c>
      <c r="C41" s="1" t="s">
        <v>857</v>
      </c>
      <c r="D41" s="72">
        <v>12356.98</v>
      </c>
      <c r="G41" s="107">
        <v>38</v>
      </c>
      <c r="H41" s="1" t="s">
        <v>953</v>
      </c>
      <c r="I41" s="1">
        <v>580379485</v>
      </c>
      <c r="J41" s="1">
        <v>18232.36</v>
      </c>
    </row>
    <row r="42" spans="1:10" ht="12.75">
      <c r="A42" s="1">
        <v>39</v>
      </c>
      <c r="B42" s="1">
        <v>580322741</v>
      </c>
      <c r="C42" s="1" t="s">
        <v>831</v>
      </c>
      <c r="D42" s="72">
        <v>11725.04</v>
      </c>
      <c r="G42" s="107">
        <v>39</v>
      </c>
      <c r="H42" s="1" t="s">
        <v>942</v>
      </c>
      <c r="I42" s="1">
        <v>580320232</v>
      </c>
      <c r="J42" s="1">
        <v>18628.6</v>
      </c>
    </row>
    <row r="43" spans="1:10" ht="12.75">
      <c r="A43" s="1">
        <v>40</v>
      </c>
      <c r="B43" s="1">
        <v>580463040</v>
      </c>
      <c r="C43" s="1" t="s">
        <v>854</v>
      </c>
      <c r="D43" s="72">
        <v>11237.12</v>
      </c>
      <c r="G43" s="107">
        <v>40</v>
      </c>
      <c r="H43" s="1" t="s">
        <v>978</v>
      </c>
      <c r="I43" s="1">
        <v>580468056</v>
      </c>
      <c r="J43" s="1">
        <v>18930.84</v>
      </c>
    </row>
    <row r="44" spans="1:10" ht="12.75">
      <c r="A44" s="1">
        <v>41</v>
      </c>
      <c r="B44" s="1">
        <v>580653376</v>
      </c>
      <c r="C44" s="1" t="s">
        <v>892</v>
      </c>
      <c r="D44" s="72">
        <v>10821.44</v>
      </c>
      <c r="G44" s="107">
        <v>41</v>
      </c>
      <c r="H44" s="1" t="s">
        <v>974</v>
      </c>
      <c r="I44" s="1">
        <v>580454932</v>
      </c>
      <c r="J44" s="1">
        <v>18958.57</v>
      </c>
    </row>
    <row r="45" spans="1:10" ht="12.75">
      <c r="A45" s="1">
        <v>42</v>
      </c>
      <c r="B45" s="1">
        <v>580635498</v>
      </c>
      <c r="C45" s="1" t="s">
        <v>885</v>
      </c>
      <c r="D45" s="72">
        <v>9980.09</v>
      </c>
      <c r="G45" s="107">
        <v>42</v>
      </c>
      <c r="H45" s="1" t="s">
        <v>943</v>
      </c>
      <c r="I45" s="1">
        <v>580329167</v>
      </c>
      <c r="J45" s="1">
        <v>19771.18</v>
      </c>
    </row>
    <row r="46" spans="1:10" ht="12.75">
      <c r="A46" s="1">
        <v>43</v>
      </c>
      <c r="B46" s="1">
        <v>580666113</v>
      </c>
      <c r="C46" s="1" t="s">
        <v>899</v>
      </c>
      <c r="D46" s="72">
        <v>9560.81</v>
      </c>
      <c r="G46" s="107">
        <v>43</v>
      </c>
      <c r="H46" s="1" t="s">
        <v>935</v>
      </c>
      <c r="I46" s="1">
        <v>580233245</v>
      </c>
      <c r="J46" s="1">
        <v>19860.35</v>
      </c>
    </row>
    <row r="47" spans="1:10" ht="12.75">
      <c r="A47" s="1">
        <v>44</v>
      </c>
      <c r="B47" s="1">
        <v>580670412</v>
      </c>
      <c r="C47" s="1" t="s">
        <v>903</v>
      </c>
      <c r="D47" s="72">
        <v>9111.16</v>
      </c>
      <c r="G47" s="107">
        <v>44</v>
      </c>
      <c r="H47" s="1" t="s">
        <v>1029</v>
      </c>
      <c r="I47" s="1">
        <v>580626687</v>
      </c>
      <c r="J47" s="1">
        <v>21585.98</v>
      </c>
    </row>
    <row r="48" spans="1:10" ht="12.75">
      <c r="A48" s="1">
        <v>45</v>
      </c>
      <c r="B48" s="1">
        <v>580481190</v>
      </c>
      <c r="C48" s="1" t="s">
        <v>858</v>
      </c>
      <c r="D48" s="72">
        <v>7235.02</v>
      </c>
      <c r="G48" s="107">
        <v>45</v>
      </c>
      <c r="H48" s="1" t="s">
        <v>939</v>
      </c>
      <c r="I48" s="1">
        <v>580271013</v>
      </c>
      <c r="J48" s="1">
        <v>22401.14</v>
      </c>
    </row>
    <row r="49" spans="1:10" ht="12.75">
      <c r="A49" s="1">
        <v>46</v>
      </c>
      <c r="B49" s="1">
        <v>580644839</v>
      </c>
      <c r="C49" s="1" t="s">
        <v>887</v>
      </c>
      <c r="D49" s="72">
        <v>5656.06</v>
      </c>
      <c r="G49" s="107">
        <v>46</v>
      </c>
      <c r="H49" s="1" t="s">
        <v>1038</v>
      </c>
      <c r="I49" s="1">
        <v>580641892</v>
      </c>
      <c r="J49" s="1">
        <v>22452.54</v>
      </c>
    </row>
    <row r="50" spans="1:10" ht="12.75">
      <c r="A50" s="1">
        <v>47</v>
      </c>
      <c r="B50" s="1">
        <v>580669257</v>
      </c>
      <c r="C50" s="1" t="s">
        <v>901</v>
      </c>
      <c r="D50" s="72">
        <v>4329.77</v>
      </c>
      <c r="G50" s="107">
        <v>47</v>
      </c>
      <c r="H50" s="1" t="s">
        <v>1013</v>
      </c>
      <c r="I50" s="1">
        <v>580588325</v>
      </c>
      <c r="J50" s="1">
        <v>23741.43</v>
      </c>
    </row>
    <row r="51" spans="1:10" ht="12.75">
      <c r="A51" s="1">
        <v>48</v>
      </c>
      <c r="B51" s="1">
        <v>580386639</v>
      </c>
      <c r="C51" s="1" t="s">
        <v>836</v>
      </c>
      <c r="D51" s="72">
        <v>3622.07</v>
      </c>
      <c r="G51" s="107">
        <v>48</v>
      </c>
      <c r="H51" s="1" t="s">
        <v>1043</v>
      </c>
      <c r="I51" s="1">
        <v>580666352</v>
      </c>
      <c r="J51" s="1">
        <v>24447.2</v>
      </c>
    </row>
    <row r="52" spans="1:10" ht="12.75">
      <c r="A52" s="1">
        <v>49</v>
      </c>
      <c r="B52" s="1">
        <v>580483014</v>
      </c>
      <c r="C52" s="1" t="s">
        <v>859</v>
      </c>
      <c r="D52" s="72">
        <v>3216.49</v>
      </c>
      <c r="G52" s="107">
        <v>49</v>
      </c>
      <c r="H52" s="1" t="s">
        <v>1019</v>
      </c>
      <c r="I52" s="1">
        <v>580605350</v>
      </c>
      <c r="J52" s="1">
        <v>28516.14</v>
      </c>
    </row>
    <row r="53" spans="1:10" ht="12.75">
      <c r="A53" s="1">
        <v>50</v>
      </c>
      <c r="B53" s="1">
        <v>580655447</v>
      </c>
      <c r="C53" s="1" t="s">
        <v>893</v>
      </c>
      <c r="D53" s="72">
        <v>2959.55</v>
      </c>
      <c r="G53" s="107">
        <v>50</v>
      </c>
      <c r="H53" s="1" t="s">
        <v>1033</v>
      </c>
      <c r="I53" s="1">
        <v>580632974</v>
      </c>
      <c r="J53" s="1">
        <v>30348.84</v>
      </c>
    </row>
    <row r="54" spans="1:10" ht="12.75">
      <c r="A54" s="1">
        <v>51</v>
      </c>
      <c r="B54" s="1">
        <v>580139566</v>
      </c>
      <c r="C54" s="1" t="s">
        <v>820</v>
      </c>
      <c r="D54" s="72">
        <v>2946.87</v>
      </c>
      <c r="G54" s="107">
        <v>51</v>
      </c>
      <c r="H54" s="1" t="s">
        <v>956</v>
      </c>
      <c r="I54" s="1">
        <v>580401206</v>
      </c>
      <c r="J54" s="1">
        <v>30668.63</v>
      </c>
    </row>
    <row r="55" spans="1:10" ht="12.75">
      <c r="A55" s="1">
        <v>52</v>
      </c>
      <c r="B55" s="1">
        <v>580512333</v>
      </c>
      <c r="C55" s="1" t="s">
        <v>867</v>
      </c>
      <c r="D55" s="72">
        <v>2800.99</v>
      </c>
      <c r="G55" s="107">
        <v>52</v>
      </c>
      <c r="H55" s="1" t="s">
        <v>998</v>
      </c>
      <c r="I55" s="1">
        <v>580556447</v>
      </c>
      <c r="J55" s="1">
        <v>31422.48</v>
      </c>
    </row>
    <row r="56" spans="1:10" ht="12.75">
      <c r="A56" s="1">
        <v>53</v>
      </c>
      <c r="B56" s="1">
        <v>580641603</v>
      </c>
      <c r="C56" s="1" t="s">
        <v>886</v>
      </c>
      <c r="D56" s="72">
        <v>2712.6</v>
      </c>
      <c r="G56" s="107">
        <v>53</v>
      </c>
      <c r="H56" s="1" t="s">
        <v>982</v>
      </c>
      <c r="I56" s="1">
        <v>580480226</v>
      </c>
      <c r="J56" s="1">
        <v>31953.02</v>
      </c>
    </row>
    <row r="57" spans="1:10" ht="12.75">
      <c r="A57" s="1">
        <v>54</v>
      </c>
      <c r="B57" s="1">
        <v>580441186</v>
      </c>
      <c r="C57" s="1" t="s">
        <v>849</v>
      </c>
      <c r="D57" s="72">
        <v>1149.28</v>
      </c>
      <c r="G57" s="107">
        <v>54</v>
      </c>
      <c r="H57" s="1" t="s">
        <v>1002</v>
      </c>
      <c r="I57" s="1">
        <v>580566164</v>
      </c>
      <c r="J57" s="1">
        <v>32367.51</v>
      </c>
    </row>
    <row r="58" spans="1:10" ht="12.75">
      <c r="A58" s="1">
        <v>55</v>
      </c>
      <c r="B58" s="1">
        <v>580461895</v>
      </c>
      <c r="C58" s="1" t="s">
        <v>852</v>
      </c>
      <c r="D58" s="72">
        <v>982.78</v>
      </c>
      <c r="G58" s="107">
        <v>55</v>
      </c>
      <c r="H58" s="1" t="s">
        <v>959</v>
      </c>
      <c r="I58" s="1">
        <v>580410611</v>
      </c>
      <c r="J58" s="1">
        <v>32819.03</v>
      </c>
    </row>
    <row r="59" spans="1:10" ht="12.75">
      <c r="A59" s="1">
        <v>56</v>
      </c>
      <c r="B59" s="1">
        <v>580613693</v>
      </c>
      <c r="C59" s="1" t="s">
        <v>879</v>
      </c>
      <c r="D59" s="72">
        <v>736.72</v>
      </c>
      <c r="G59" s="107">
        <v>56</v>
      </c>
      <c r="H59" s="1" t="s">
        <v>1010</v>
      </c>
      <c r="I59" s="1">
        <v>580584597</v>
      </c>
      <c r="J59" s="1">
        <v>33193.97</v>
      </c>
    </row>
    <row r="60" spans="1:10" ht="12.75">
      <c r="A60" s="1">
        <v>57</v>
      </c>
      <c r="B60" s="1">
        <v>580060937</v>
      </c>
      <c r="C60" s="1" t="s">
        <v>817</v>
      </c>
      <c r="D60" s="72"/>
      <c r="G60" s="107">
        <v>57</v>
      </c>
      <c r="H60" s="1" t="s">
        <v>971</v>
      </c>
      <c r="I60" s="1">
        <v>580447258</v>
      </c>
      <c r="J60" s="1">
        <v>35167.66</v>
      </c>
    </row>
    <row r="61" spans="1:10" ht="12.75">
      <c r="A61" s="1">
        <v>58</v>
      </c>
      <c r="B61" s="1">
        <v>580080570</v>
      </c>
      <c r="C61" s="1" t="s">
        <v>818</v>
      </c>
      <c r="D61" s="72"/>
      <c r="G61" s="107">
        <v>58</v>
      </c>
      <c r="H61" s="1" t="s">
        <v>976</v>
      </c>
      <c r="I61" s="1">
        <v>580460855</v>
      </c>
      <c r="J61" s="1">
        <v>36241.6</v>
      </c>
    </row>
    <row r="62" spans="1:10" ht="12.75">
      <c r="A62" s="1">
        <v>59</v>
      </c>
      <c r="B62" s="1">
        <v>580163491</v>
      </c>
      <c r="C62" s="1" t="s">
        <v>821</v>
      </c>
      <c r="D62" s="72"/>
      <c r="G62" s="107">
        <v>59</v>
      </c>
      <c r="H62" s="1" t="s">
        <v>1025</v>
      </c>
      <c r="I62" s="1">
        <v>580621241</v>
      </c>
      <c r="J62" s="1">
        <v>38491.94</v>
      </c>
    </row>
    <row r="63" spans="1:10" ht="12.75">
      <c r="A63" s="1">
        <v>60</v>
      </c>
      <c r="B63" s="1">
        <v>580169969</v>
      </c>
      <c r="C63" s="1" t="s">
        <v>823</v>
      </c>
      <c r="D63" s="72"/>
      <c r="G63" s="107">
        <v>60</v>
      </c>
      <c r="H63" s="1" t="s">
        <v>961</v>
      </c>
      <c r="I63" s="1">
        <v>580414118</v>
      </c>
      <c r="J63" s="1">
        <v>39627.24</v>
      </c>
    </row>
    <row r="64" spans="1:10" ht="12.75">
      <c r="A64" s="1">
        <v>61</v>
      </c>
      <c r="B64" s="1">
        <v>580249936</v>
      </c>
      <c r="C64" s="1" t="s">
        <v>826</v>
      </c>
      <c r="D64" s="72"/>
      <c r="G64" s="107">
        <v>61</v>
      </c>
      <c r="H64" s="1" t="s">
        <v>1012</v>
      </c>
      <c r="I64" s="1">
        <v>580587459</v>
      </c>
      <c r="J64" s="1">
        <v>42382.02</v>
      </c>
    </row>
    <row r="65" spans="1:10" ht="12.75">
      <c r="A65" s="1">
        <v>62</v>
      </c>
      <c r="B65" s="1">
        <v>580278299</v>
      </c>
      <c r="C65" s="1" t="s">
        <v>828</v>
      </c>
      <c r="D65" s="72"/>
      <c r="G65" s="107">
        <v>62</v>
      </c>
      <c r="H65" s="1" t="s">
        <v>980</v>
      </c>
      <c r="I65" s="1">
        <v>580472546</v>
      </c>
      <c r="J65" s="1">
        <v>43642.33</v>
      </c>
    </row>
    <row r="66" spans="1:10" ht="12.75">
      <c r="A66" s="1">
        <v>63</v>
      </c>
      <c r="B66" s="1">
        <v>580302354</v>
      </c>
      <c r="C66" s="1" t="s">
        <v>830</v>
      </c>
      <c r="D66" s="72"/>
      <c r="G66" s="107">
        <v>63</v>
      </c>
      <c r="H66" s="1" t="s">
        <v>941</v>
      </c>
      <c r="I66" s="1">
        <v>580318830</v>
      </c>
      <c r="J66" s="1">
        <v>43816.91</v>
      </c>
    </row>
    <row r="67" spans="1:10" ht="12.75">
      <c r="A67" s="1">
        <v>64</v>
      </c>
      <c r="B67" s="1">
        <v>580407609</v>
      </c>
      <c r="C67" s="1" t="s">
        <v>839</v>
      </c>
      <c r="D67" s="72"/>
      <c r="G67" s="107">
        <v>64</v>
      </c>
      <c r="H67" s="1" t="s">
        <v>1039</v>
      </c>
      <c r="I67" s="1">
        <v>580649291</v>
      </c>
      <c r="J67" s="1">
        <v>44965.5</v>
      </c>
    </row>
    <row r="68" spans="1:10" ht="12.75">
      <c r="A68" s="1">
        <v>65</v>
      </c>
      <c r="B68" s="1">
        <v>580410264</v>
      </c>
      <c r="C68" s="1" t="s">
        <v>841</v>
      </c>
      <c r="D68" s="72"/>
      <c r="G68" s="107">
        <v>65</v>
      </c>
      <c r="H68" s="1" t="s">
        <v>1003</v>
      </c>
      <c r="I68" s="1">
        <v>580568681</v>
      </c>
      <c r="J68" s="1">
        <v>47300.93</v>
      </c>
    </row>
    <row r="69" spans="1:10" ht="12.75">
      <c r="A69" s="1">
        <v>66</v>
      </c>
      <c r="B69" s="1">
        <v>580416576</v>
      </c>
      <c r="C69" s="1" t="s">
        <v>844</v>
      </c>
      <c r="D69" s="72"/>
      <c r="G69" s="107">
        <v>66</v>
      </c>
      <c r="H69" s="1" t="s">
        <v>1027</v>
      </c>
      <c r="I69" s="1">
        <v>580624765</v>
      </c>
      <c r="J69" s="1">
        <v>47657.43</v>
      </c>
    </row>
    <row r="70" spans="1:10" ht="12.75">
      <c r="A70" s="1">
        <v>67</v>
      </c>
      <c r="B70" s="1">
        <v>580421329</v>
      </c>
      <c r="C70" s="1" t="s">
        <v>846</v>
      </c>
      <c r="D70" s="72"/>
      <c r="G70" s="107">
        <v>67</v>
      </c>
      <c r="H70" s="1" t="s">
        <v>994</v>
      </c>
      <c r="I70" s="1">
        <v>580543296</v>
      </c>
      <c r="J70" s="1">
        <v>50275.96</v>
      </c>
    </row>
    <row r="71" spans="1:10" ht="12.75">
      <c r="A71" s="1">
        <v>68</v>
      </c>
      <c r="B71" s="1">
        <v>580422897</v>
      </c>
      <c r="C71" s="1" t="s">
        <v>847</v>
      </c>
      <c r="D71" s="72"/>
      <c r="G71" s="107">
        <v>68</v>
      </c>
      <c r="H71" s="1" t="s">
        <v>963</v>
      </c>
      <c r="I71" s="1">
        <v>580424406</v>
      </c>
      <c r="J71" s="1">
        <v>52171.87</v>
      </c>
    </row>
    <row r="72" spans="1:10" ht="12.75">
      <c r="A72" s="1">
        <v>69</v>
      </c>
      <c r="B72" s="1">
        <v>580425718</v>
      </c>
      <c r="C72" s="1" t="s">
        <v>848</v>
      </c>
      <c r="D72" s="72"/>
      <c r="G72" s="107">
        <v>69</v>
      </c>
      <c r="H72" s="1" t="s">
        <v>968</v>
      </c>
      <c r="I72" s="1">
        <v>580442309</v>
      </c>
      <c r="J72" s="1">
        <v>54366.4</v>
      </c>
    </row>
    <row r="73" spans="1:10" ht="12.75">
      <c r="A73" s="1">
        <v>70</v>
      </c>
      <c r="B73" s="1">
        <v>580451474</v>
      </c>
      <c r="C73" s="1" t="s">
        <v>850</v>
      </c>
      <c r="D73" s="72"/>
      <c r="G73" s="107">
        <v>70</v>
      </c>
      <c r="H73" s="1" t="s">
        <v>1005</v>
      </c>
      <c r="I73" s="1">
        <v>580576247</v>
      </c>
      <c r="J73" s="1">
        <v>54788.07</v>
      </c>
    </row>
    <row r="74" spans="1:10" ht="12.75">
      <c r="A74" s="1">
        <v>71</v>
      </c>
      <c r="B74" s="1">
        <v>580462240</v>
      </c>
      <c r="C74" s="1" t="s">
        <v>853</v>
      </c>
      <c r="D74" s="72"/>
      <c r="G74" s="107">
        <v>71</v>
      </c>
      <c r="H74" s="1" t="s">
        <v>1000</v>
      </c>
      <c r="I74" s="1">
        <v>580563120</v>
      </c>
      <c r="J74" s="1">
        <v>55567.57</v>
      </c>
    </row>
    <row r="75" spans="1:10" ht="12.75">
      <c r="A75" s="1">
        <v>72</v>
      </c>
      <c r="B75" s="1">
        <v>580465391</v>
      </c>
      <c r="C75" s="1" t="s">
        <v>856</v>
      </c>
      <c r="D75" s="72"/>
      <c r="G75" s="107">
        <v>72</v>
      </c>
      <c r="H75" s="1" t="s">
        <v>1009</v>
      </c>
      <c r="I75" s="1">
        <v>580580561</v>
      </c>
      <c r="J75" s="1">
        <v>56909.6</v>
      </c>
    </row>
    <row r="76" spans="1:10" ht="12.75">
      <c r="A76" s="1">
        <v>73</v>
      </c>
      <c r="B76" s="1">
        <v>580490613</v>
      </c>
      <c r="C76" s="1" t="s">
        <v>862</v>
      </c>
      <c r="D76" s="72"/>
      <c r="G76" s="107">
        <v>73</v>
      </c>
      <c r="H76" s="1" t="s">
        <v>988</v>
      </c>
      <c r="I76" s="1">
        <v>580513885</v>
      </c>
      <c r="J76" s="1">
        <v>62803.08</v>
      </c>
    </row>
    <row r="77" spans="1:10" ht="12.75">
      <c r="A77" s="1">
        <v>74</v>
      </c>
      <c r="B77" s="1">
        <v>580495174</v>
      </c>
      <c r="C77" s="1" t="s">
        <v>863</v>
      </c>
      <c r="D77" s="72"/>
      <c r="G77" s="107">
        <v>74</v>
      </c>
      <c r="H77" s="1" t="s">
        <v>965</v>
      </c>
      <c r="I77" s="1">
        <v>580434041</v>
      </c>
      <c r="J77" s="1">
        <v>63368.66</v>
      </c>
    </row>
    <row r="78" spans="1:10" ht="12.75">
      <c r="A78" s="1">
        <v>75</v>
      </c>
      <c r="B78" s="1">
        <v>580496446</v>
      </c>
      <c r="C78" s="1" t="s">
        <v>864</v>
      </c>
      <c r="D78" s="72"/>
      <c r="G78" s="107">
        <v>75</v>
      </c>
      <c r="H78" s="1" t="s">
        <v>1007</v>
      </c>
      <c r="I78" s="1">
        <v>580578623</v>
      </c>
      <c r="J78" s="1">
        <v>63368.67</v>
      </c>
    </row>
    <row r="79" spans="1:10" ht="12.75">
      <c r="A79" s="1">
        <v>76</v>
      </c>
      <c r="B79" s="1">
        <v>580509016</v>
      </c>
      <c r="C79" s="1" t="s">
        <v>866</v>
      </c>
      <c r="D79" s="72"/>
      <c r="G79" s="107">
        <v>76</v>
      </c>
      <c r="H79" s="1" t="s">
        <v>997</v>
      </c>
      <c r="I79" s="1">
        <v>580550218</v>
      </c>
      <c r="J79" s="1">
        <v>63562.73</v>
      </c>
    </row>
    <row r="80" spans="1:10" ht="12.75">
      <c r="A80" s="1">
        <v>77</v>
      </c>
      <c r="B80" s="1">
        <v>580516979</v>
      </c>
      <c r="C80" s="1" t="s">
        <v>868</v>
      </c>
      <c r="D80" s="72"/>
      <c r="G80" s="107">
        <v>77</v>
      </c>
      <c r="H80" s="1" t="s">
        <v>949</v>
      </c>
      <c r="I80" s="1">
        <v>580350080</v>
      </c>
      <c r="J80" s="1">
        <v>65638.08</v>
      </c>
    </row>
    <row r="81" spans="1:10" ht="12.75">
      <c r="A81" s="1">
        <v>78</v>
      </c>
      <c r="B81" s="1">
        <v>580543007</v>
      </c>
      <c r="C81" s="1" t="s">
        <v>870</v>
      </c>
      <c r="D81" s="72"/>
      <c r="G81" s="107">
        <v>78</v>
      </c>
      <c r="H81" s="1" t="s">
        <v>913</v>
      </c>
      <c r="I81" s="1">
        <v>510681968</v>
      </c>
      <c r="J81" s="1">
        <v>67573.87</v>
      </c>
    </row>
    <row r="82" spans="1:10" ht="12.75">
      <c r="A82" s="1">
        <v>79</v>
      </c>
      <c r="B82" s="1">
        <v>580552883</v>
      </c>
      <c r="C82" s="1" t="s">
        <v>871</v>
      </c>
      <c r="D82" s="72"/>
      <c r="G82" s="107">
        <v>79</v>
      </c>
      <c r="H82" s="1" t="s">
        <v>1037</v>
      </c>
      <c r="I82" s="1">
        <v>580641579</v>
      </c>
      <c r="J82" s="1">
        <v>69710.02</v>
      </c>
    </row>
    <row r="83" spans="1:10" ht="12.75">
      <c r="A83" s="1">
        <v>80</v>
      </c>
      <c r="B83" s="1">
        <v>580578516</v>
      </c>
      <c r="C83" s="1" t="s">
        <v>872</v>
      </c>
      <c r="D83" s="72"/>
      <c r="G83" s="107">
        <v>80</v>
      </c>
      <c r="H83" s="1" t="s">
        <v>986</v>
      </c>
      <c r="I83" s="1">
        <v>580499853</v>
      </c>
      <c r="J83" s="1">
        <v>69932.74</v>
      </c>
    </row>
    <row r="84" spans="1:10" ht="12.75">
      <c r="A84" s="1">
        <v>81</v>
      </c>
      <c r="B84" s="1">
        <v>580591345</v>
      </c>
      <c r="C84" s="1" t="s">
        <v>873</v>
      </c>
      <c r="D84" s="72"/>
      <c r="G84" s="107">
        <v>81</v>
      </c>
      <c r="H84" s="1" t="s">
        <v>1034</v>
      </c>
      <c r="I84" s="1">
        <v>580634335</v>
      </c>
      <c r="J84" s="1">
        <v>71224.29</v>
      </c>
    </row>
    <row r="85" spans="1:10" ht="12.75">
      <c r="A85" s="1">
        <v>82</v>
      </c>
      <c r="B85" s="1">
        <v>580612679</v>
      </c>
      <c r="C85" s="1" t="s">
        <v>876</v>
      </c>
      <c r="D85" s="72"/>
      <c r="G85" s="107">
        <v>82</v>
      </c>
      <c r="H85" s="1" t="s">
        <v>952</v>
      </c>
      <c r="I85" s="1">
        <v>580373744</v>
      </c>
      <c r="J85" s="1">
        <v>73162.12</v>
      </c>
    </row>
    <row r="86" spans="1:10" ht="12.75">
      <c r="A86" s="1">
        <v>83</v>
      </c>
      <c r="B86" s="1">
        <v>580613503</v>
      </c>
      <c r="C86" s="1" t="s">
        <v>877</v>
      </c>
      <c r="D86" s="72"/>
      <c r="G86" s="107">
        <v>83</v>
      </c>
      <c r="H86" s="1" t="s">
        <v>1040</v>
      </c>
      <c r="I86" s="1">
        <v>580649358</v>
      </c>
      <c r="J86" s="1">
        <v>74148.18</v>
      </c>
    </row>
    <row r="87" spans="1:10" ht="12.75">
      <c r="A87" s="1">
        <v>84</v>
      </c>
      <c r="B87" s="1">
        <v>580615912</v>
      </c>
      <c r="C87" s="1" t="s">
        <v>880</v>
      </c>
      <c r="D87" s="72"/>
      <c r="G87" s="107">
        <v>84</v>
      </c>
      <c r="H87" s="1" t="s">
        <v>970</v>
      </c>
      <c r="I87" s="1">
        <v>580445070</v>
      </c>
      <c r="J87" s="1">
        <v>77238.88</v>
      </c>
    </row>
    <row r="88" spans="1:10" ht="12.75">
      <c r="A88" s="1">
        <v>85</v>
      </c>
      <c r="B88" s="1">
        <v>580627271</v>
      </c>
      <c r="C88" s="1" t="s">
        <v>882</v>
      </c>
      <c r="D88" s="72"/>
      <c r="G88" s="107">
        <v>85</v>
      </c>
      <c r="H88" s="1" t="s">
        <v>995</v>
      </c>
      <c r="I88" s="1">
        <v>580546133</v>
      </c>
      <c r="J88" s="1">
        <v>79254.48</v>
      </c>
    </row>
    <row r="89" spans="1:10" ht="12.75">
      <c r="A89" s="1">
        <v>86</v>
      </c>
      <c r="B89" s="1">
        <v>580627404</v>
      </c>
      <c r="C89" s="1" t="s">
        <v>883</v>
      </c>
      <c r="D89" s="72"/>
      <c r="G89" s="107">
        <v>86</v>
      </c>
      <c r="H89" s="1" t="s">
        <v>955</v>
      </c>
      <c r="I89" s="1">
        <v>580398642</v>
      </c>
      <c r="J89" s="1">
        <v>80177.66</v>
      </c>
    </row>
    <row r="90" spans="1:10" ht="12.75">
      <c r="A90" s="1">
        <v>87</v>
      </c>
      <c r="B90" s="1">
        <v>580648624</v>
      </c>
      <c r="C90" s="1" t="s">
        <v>889</v>
      </c>
      <c r="D90" s="72"/>
      <c r="G90" s="107">
        <v>87</v>
      </c>
      <c r="H90" s="1" t="s">
        <v>984</v>
      </c>
      <c r="I90" s="1">
        <v>580489466</v>
      </c>
      <c r="J90" s="1">
        <v>83736.04</v>
      </c>
    </row>
    <row r="91" spans="1:10" ht="12.75">
      <c r="A91" s="1">
        <v>88</v>
      </c>
      <c r="B91" s="1">
        <v>580649168</v>
      </c>
      <c r="C91" s="1" t="s">
        <v>891</v>
      </c>
      <c r="D91" s="72"/>
      <c r="G91" s="107">
        <v>88</v>
      </c>
      <c r="H91" s="1" t="s">
        <v>950</v>
      </c>
      <c r="I91" s="1">
        <v>580356178</v>
      </c>
      <c r="J91" s="1">
        <v>85264.57</v>
      </c>
    </row>
    <row r="92" spans="1:10" ht="12.75">
      <c r="A92" s="1">
        <v>89</v>
      </c>
      <c r="B92" s="1">
        <v>580661734</v>
      </c>
      <c r="C92" s="1" t="s">
        <v>894</v>
      </c>
      <c r="D92" s="72"/>
      <c r="G92" s="107">
        <v>89</v>
      </c>
      <c r="H92" s="1" t="s">
        <v>977</v>
      </c>
      <c r="I92" s="1">
        <v>580464923</v>
      </c>
      <c r="J92" s="1">
        <v>87982.94</v>
      </c>
    </row>
    <row r="93" spans="1:10" ht="12.75">
      <c r="A93" s="1">
        <v>90</v>
      </c>
      <c r="B93" s="1">
        <v>580664068</v>
      </c>
      <c r="C93" s="1" t="s">
        <v>895</v>
      </c>
      <c r="D93" s="72"/>
      <c r="G93" s="107">
        <v>90</v>
      </c>
      <c r="H93" s="1" t="s">
        <v>967</v>
      </c>
      <c r="I93" s="1">
        <v>580441772</v>
      </c>
      <c r="J93" s="1">
        <v>91823.47</v>
      </c>
    </row>
    <row r="94" spans="1:10" ht="12.75">
      <c r="A94" s="1">
        <v>91</v>
      </c>
      <c r="B94" s="1">
        <v>580665594</v>
      </c>
      <c r="C94" s="1" t="s">
        <v>897</v>
      </c>
      <c r="D94" s="72"/>
      <c r="G94" s="107">
        <v>91</v>
      </c>
      <c r="H94" s="1" t="s">
        <v>1014</v>
      </c>
      <c r="I94" s="1">
        <v>580592806</v>
      </c>
      <c r="J94" s="1">
        <v>98642.49</v>
      </c>
    </row>
    <row r="95" spans="1:10" ht="12.75">
      <c r="A95" s="1">
        <v>92</v>
      </c>
      <c r="B95" s="1">
        <v>580667046</v>
      </c>
      <c r="C95" s="1" t="s">
        <v>900</v>
      </c>
      <c r="D95" s="72"/>
      <c r="G95" s="107">
        <v>92</v>
      </c>
      <c r="H95" s="1" t="s">
        <v>969</v>
      </c>
      <c r="I95" s="1">
        <v>580443372</v>
      </c>
      <c r="J95" s="1">
        <v>101402.76</v>
      </c>
    </row>
    <row r="96" spans="1:10" ht="12.75">
      <c r="A96" s="1">
        <v>93</v>
      </c>
      <c r="B96" s="1">
        <v>580669729</v>
      </c>
      <c r="C96" s="1" t="s">
        <v>902</v>
      </c>
      <c r="D96" s="72"/>
      <c r="G96" s="107">
        <v>93</v>
      </c>
      <c r="H96" s="1" t="s">
        <v>996</v>
      </c>
      <c r="I96" s="1">
        <v>580547339</v>
      </c>
      <c r="J96" s="1">
        <v>104656.27</v>
      </c>
    </row>
    <row r="97" spans="1:10" ht="12.75">
      <c r="A97" s="1">
        <v>94</v>
      </c>
      <c r="B97" s="1">
        <v>580675650</v>
      </c>
      <c r="C97" s="1" t="s">
        <v>904</v>
      </c>
      <c r="D97" s="72"/>
      <c r="G97" s="107">
        <v>94</v>
      </c>
      <c r="H97" s="1" t="s">
        <v>1001</v>
      </c>
      <c r="I97" s="1">
        <v>580565406</v>
      </c>
      <c r="J97" s="1">
        <v>106712.02</v>
      </c>
    </row>
    <row r="98" spans="1:10" ht="12.75">
      <c r="A98" s="1">
        <v>95</v>
      </c>
      <c r="B98" s="1">
        <v>580680957</v>
      </c>
      <c r="C98" s="1" t="s">
        <v>906</v>
      </c>
      <c r="D98" s="72"/>
      <c r="G98" s="107">
        <v>95</v>
      </c>
      <c r="H98" s="1" t="s">
        <v>1018</v>
      </c>
      <c r="I98" s="1">
        <v>580604528</v>
      </c>
      <c r="J98" s="1">
        <v>111026.1</v>
      </c>
    </row>
    <row r="99" spans="1:10" ht="12.75">
      <c r="A99" s="1">
        <v>96</v>
      </c>
      <c r="B99" s="1">
        <v>580685956</v>
      </c>
      <c r="C99" s="1" t="s">
        <v>907</v>
      </c>
      <c r="D99" s="72"/>
      <c r="G99" s="107">
        <v>96</v>
      </c>
      <c r="H99" s="1" t="s">
        <v>972</v>
      </c>
      <c r="I99" s="1">
        <v>580449577</v>
      </c>
      <c r="J99" s="1">
        <v>112422.65</v>
      </c>
    </row>
    <row r="100" spans="1:10" ht="12.75">
      <c r="A100" s="1">
        <v>97</v>
      </c>
      <c r="B100" s="1">
        <v>580692937</v>
      </c>
      <c r="C100" s="1" t="s">
        <v>909</v>
      </c>
      <c r="D100" s="72"/>
      <c r="G100" s="107">
        <v>97</v>
      </c>
      <c r="H100" s="1" t="s">
        <v>975</v>
      </c>
      <c r="I100" s="1">
        <v>580459758</v>
      </c>
      <c r="J100" s="1">
        <v>117037.12</v>
      </c>
    </row>
    <row r="101" spans="7:10" ht="12.75">
      <c r="G101" s="107">
        <v>98</v>
      </c>
      <c r="H101" s="1" t="s">
        <v>936</v>
      </c>
      <c r="I101" s="1">
        <v>580235869</v>
      </c>
      <c r="J101" s="1">
        <v>119809.48</v>
      </c>
    </row>
    <row r="102" spans="7:10" ht="12.75">
      <c r="G102" s="107">
        <v>99</v>
      </c>
      <c r="H102" s="1" t="s">
        <v>926</v>
      </c>
      <c r="I102" s="1">
        <v>580093680</v>
      </c>
      <c r="J102" s="1">
        <v>121280.62</v>
      </c>
    </row>
    <row r="103" spans="2:10" ht="15.75">
      <c r="B103" s="244" t="s">
        <v>810</v>
      </c>
      <c r="C103" s="244"/>
      <c r="G103" s="107">
        <v>100</v>
      </c>
      <c r="H103" s="1" t="s">
        <v>1017</v>
      </c>
      <c r="I103" s="1">
        <v>580603025</v>
      </c>
      <c r="J103" s="1">
        <v>124285.72</v>
      </c>
    </row>
    <row r="104" spans="2:10" ht="12.75">
      <c r="B104" s="1">
        <v>580007615</v>
      </c>
      <c r="C104" s="1" t="s">
        <v>492</v>
      </c>
      <c r="G104" s="107">
        <v>101</v>
      </c>
      <c r="H104" s="1" t="s">
        <v>921</v>
      </c>
      <c r="I104" s="1">
        <v>580052793</v>
      </c>
      <c r="J104" s="1">
        <v>138195.11</v>
      </c>
    </row>
    <row r="105" spans="2:10" ht="12.75">
      <c r="B105" s="1">
        <v>580160513</v>
      </c>
      <c r="C105" s="1" t="s">
        <v>495</v>
      </c>
      <c r="G105" s="107">
        <v>102</v>
      </c>
      <c r="H105" s="1" t="s">
        <v>1031</v>
      </c>
      <c r="I105" s="1">
        <v>580629962</v>
      </c>
      <c r="J105" s="1">
        <v>153364.01</v>
      </c>
    </row>
    <row r="106" spans="2:10" ht="12.75">
      <c r="B106" s="1">
        <v>580170108</v>
      </c>
      <c r="C106" s="1" t="s">
        <v>497</v>
      </c>
      <c r="G106" s="107">
        <v>103</v>
      </c>
      <c r="H106" s="1" t="s">
        <v>979</v>
      </c>
      <c r="I106" s="1">
        <v>580470557</v>
      </c>
      <c r="J106" s="1">
        <v>154634.56</v>
      </c>
    </row>
    <row r="107" spans="2:10" ht="12.75">
      <c r="B107" s="1">
        <v>580246957</v>
      </c>
      <c r="C107" s="1" t="s">
        <v>684</v>
      </c>
      <c r="G107" s="107">
        <v>104</v>
      </c>
      <c r="H107" s="1" t="s">
        <v>987</v>
      </c>
      <c r="I107" s="1">
        <v>580508919</v>
      </c>
      <c r="J107" s="1">
        <v>158508.96</v>
      </c>
    </row>
    <row r="108" spans="2:10" ht="12.75">
      <c r="B108" s="1">
        <v>580281863</v>
      </c>
      <c r="C108" s="1" t="s">
        <v>748</v>
      </c>
      <c r="G108" s="107">
        <v>105</v>
      </c>
      <c r="H108" s="1" t="s">
        <v>934</v>
      </c>
      <c r="I108" s="1">
        <v>580233161</v>
      </c>
      <c r="J108" s="1">
        <v>163920.61</v>
      </c>
    </row>
    <row r="109" spans="2:10" ht="12.75">
      <c r="B109" s="1">
        <v>580288405</v>
      </c>
      <c r="C109" s="1" t="s">
        <v>123</v>
      </c>
      <c r="G109" s="107">
        <v>106</v>
      </c>
      <c r="H109" s="1" t="s">
        <v>958</v>
      </c>
      <c r="I109" s="1">
        <v>580408607</v>
      </c>
      <c r="J109" s="1">
        <v>164095.19</v>
      </c>
    </row>
    <row r="110" spans="2:10" ht="12.75">
      <c r="B110" s="1">
        <v>580421972</v>
      </c>
      <c r="C110" s="1" t="s">
        <v>289</v>
      </c>
      <c r="G110" s="107">
        <v>107</v>
      </c>
      <c r="H110" s="1" t="s">
        <v>992</v>
      </c>
      <c r="I110" s="1">
        <v>580529063</v>
      </c>
      <c r="J110" s="1">
        <v>164141.5</v>
      </c>
    </row>
    <row r="111" spans="2:10" ht="12.75">
      <c r="B111" s="1">
        <v>580446490</v>
      </c>
      <c r="C111" s="1" t="s">
        <v>638</v>
      </c>
      <c r="G111" s="107">
        <v>108</v>
      </c>
      <c r="H111" s="1" t="s">
        <v>966</v>
      </c>
      <c r="I111" s="1">
        <v>580435980</v>
      </c>
      <c r="J111" s="1">
        <v>166190.01</v>
      </c>
    </row>
    <row r="112" spans="2:10" ht="12.75">
      <c r="B112" s="1">
        <v>580466050</v>
      </c>
      <c r="C112" s="1" t="s">
        <v>665</v>
      </c>
      <c r="G112" s="107">
        <v>109</v>
      </c>
      <c r="H112" s="1" t="s">
        <v>957</v>
      </c>
      <c r="I112" s="1">
        <v>580402709</v>
      </c>
      <c r="J112" s="1">
        <v>191328</v>
      </c>
    </row>
    <row r="113" spans="2:10" ht="12.75">
      <c r="B113" s="1">
        <v>580579258</v>
      </c>
      <c r="C113" s="1" t="s">
        <v>305</v>
      </c>
      <c r="G113" s="107">
        <v>110</v>
      </c>
      <c r="H113" s="1" t="s">
        <v>922</v>
      </c>
      <c r="I113" s="1">
        <v>580055937</v>
      </c>
      <c r="J113" s="1">
        <v>213486</v>
      </c>
    </row>
  </sheetData>
  <sheetProtection/>
  <autoFilter ref="A3:D100"/>
  <mergeCells count="3">
    <mergeCell ref="B103:C103"/>
    <mergeCell ref="A1:D1"/>
    <mergeCell ref="G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user0000</dc:creator>
  <cp:keywords/>
  <dc:description/>
  <cp:lastModifiedBy>Shani Azriel</cp:lastModifiedBy>
  <cp:lastPrinted>2020-07-28T11:27:37Z</cp:lastPrinted>
  <dcterms:created xsi:type="dcterms:W3CDTF">2001-06-27T17:15:16Z</dcterms:created>
  <dcterms:modified xsi:type="dcterms:W3CDTF">2020-11-02T05:39:31Z</dcterms:modified>
  <cp:category/>
  <cp:version/>
  <cp:contentType/>
  <cp:contentStatus/>
</cp:coreProperties>
</file>