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0" yWindow="0" windowWidth="28800" windowHeight="12195" tabRatio="266" activeTab="0"/>
  </bookViews>
  <sheets>
    <sheet name="דוח תקציב" sheetId="1" r:id="rId1"/>
    <sheet name="שווי מתנדבים" sheetId="2" r:id="rId2"/>
    <sheet name="גיליון1" sheetId="3" r:id="rId3"/>
    <sheet name="גיליון4" sheetId="4" r:id="rId4"/>
    <sheet name="גיליון2" sheetId="5" r:id="rId5"/>
  </sheets>
  <definedNames>
    <definedName name="_xlfn.IFERROR" hidden="1">#NAME?</definedName>
    <definedName name="_xlnm.Print_Area" localSheetId="0">'דוח תקציב'!$A$2:$I$71</definedName>
    <definedName name="_xlnm.Print_Titles" localSheetId="0">'דוח תקציב'!$2:$4</definedName>
    <definedName name="מס_מרכבה">#REF!</definedName>
    <definedName name="מס_תאגיד">#REF!</definedName>
    <definedName name="מספר_עמותה">'גיליון2'!$B$5:$B$1019</definedName>
    <definedName name="שולם_בפועל_ב_19">'גיליון2'!$E$5:$E$1019</definedName>
    <definedName name="שולמה_מקדמה_עד_1.7.20">'גיליון2'!$F$5:$F$1019</definedName>
    <definedName name="שם_עמותה">'גיליון2'!$C$5:$C$1019</definedName>
    <definedName name="שם_תאגיד">#REF!</definedName>
    <definedName name="תמיכה_2020_לפי_המודל">'גיליון2'!$H$5:$H$1019</definedName>
    <definedName name="תשלום_בפועל_יולי_2020">'גיליון2'!$K$5:$K$1019</definedName>
  </definedNames>
  <calcPr fullCalcOnLoad="1"/>
</workbook>
</file>

<file path=xl/sharedStrings.xml><?xml version="1.0" encoding="utf-8"?>
<sst xmlns="http://schemas.openxmlformats.org/spreadsheetml/2006/main" count="1543" uniqueCount="823">
  <si>
    <t>אחוז ביצוע</t>
  </si>
  <si>
    <t>סה"כ הכנסות:</t>
  </si>
  <si>
    <t>תאריך:</t>
  </si>
  <si>
    <t>הכנסות ציבוריות נתמכות</t>
  </si>
  <si>
    <t>סה"כ הכנסות ציבוריות נתמכות:</t>
  </si>
  <si>
    <t>הכנסות</t>
  </si>
  <si>
    <t>הוצאות פעילות נתמכת</t>
  </si>
  <si>
    <t>סה"כ הוצאות פעילות נתמכת</t>
  </si>
  <si>
    <t>הוצאות</t>
  </si>
  <si>
    <t>הכנסות עצמיות נתמכות</t>
  </si>
  <si>
    <t>סה"כ הכנסות עצמיות נתמכות:</t>
  </si>
  <si>
    <t>אחוז הכנסות עצמיות נתמכות</t>
  </si>
  <si>
    <t>צפי לאחוז ביצוע כולל</t>
  </si>
  <si>
    <t>סה"כ הוצאות:</t>
  </si>
  <si>
    <t>הנהלה וכלליות</t>
  </si>
  <si>
    <t>משכורת ושכר עבודה ,סוציאליות ונלוות לשכר(כולל מנכ"ל)</t>
  </si>
  <si>
    <t>מיחשוב</t>
  </si>
  <si>
    <t>ביטוחים</t>
  </si>
  <si>
    <t>שירותי מקצועיים</t>
  </si>
  <si>
    <t>צרכי משרד והדפסות,דואר,טלפון ותקשורת</t>
  </si>
  <si>
    <t>שכר דירה ואחזקה</t>
  </si>
  <si>
    <t>השתתפות נציגי איגוד בישיבות בינ"ל</t>
  </si>
  <si>
    <t>אחזקת כלי רכב</t>
  </si>
  <si>
    <t>אסיפה שנתית</t>
  </si>
  <si>
    <t>סה"כ הוצאות הנהלה וכלליות</t>
  </si>
  <si>
    <t>מספר עמותה</t>
  </si>
  <si>
    <t>שם האגודה:</t>
  </si>
  <si>
    <t>תקציב 2020 מקור</t>
  </si>
  <si>
    <t>שכר ספורטאים</t>
  </si>
  <si>
    <t>מיסים לרשויות</t>
  </si>
  <si>
    <t>שכר מאמנים וצוות מקצועי</t>
  </si>
  <si>
    <t>דמי שימוש ותחזוקת מתקני ספורט</t>
  </si>
  <si>
    <t>דמי רישום ושיפוט לאיגודים או התאחדויות</t>
  </si>
  <si>
    <t>הסעות בארץ</t>
  </si>
  <si>
    <t>בקרה ורואה חשבון</t>
  </si>
  <si>
    <t>ביטוחים ובדיקות רפואיות</t>
  </si>
  <si>
    <t>ציוד ספורט וציוד רפואי</t>
  </si>
  <si>
    <t>כרטיסי טיסה לזרים</t>
  </si>
  <si>
    <t>אשרות ורשיונות לזרים</t>
  </si>
  <si>
    <t>טיסות למחנות אימון והשתתפות בגביע אירופה</t>
  </si>
  <si>
    <t>לינה וכלכלה בחו"ל</t>
  </si>
  <si>
    <t>מחנות אימון ולינה בארץ</t>
  </si>
  <si>
    <t>רכישה והשאלת ספורטאים</t>
  </si>
  <si>
    <t>מכירת כרטיסים ומינויים</t>
  </si>
  <si>
    <t>פרסום, שיווק ושילוט</t>
  </si>
  <si>
    <t>תרומות ודמי חסות</t>
  </si>
  <si>
    <t>מכירה והשאלת ספורטאים</t>
  </si>
  <si>
    <t>דמי חבר</t>
  </si>
  <si>
    <t>תקציב ביצוע חצי שנתי 2020</t>
  </si>
  <si>
    <t>תקציב 2021 מקור</t>
  </si>
  <si>
    <t>שם עמותה</t>
  </si>
  <si>
    <t>מרכז</t>
  </si>
  <si>
    <t>שולם בפועל ב 19</t>
  </si>
  <si>
    <t>שולמה מקדמה עד 1.7.20</t>
  </si>
  <si>
    <t>אחוז ששולם בפועל ביחס ל 2019</t>
  </si>
  <si>
    <t>תמיכה 2020 לפי המודל</t>
  </si>
  <si>
    <t>מקדמה 70% ביחס ל- 2019</t>
  </si>
  <si>
    <t>מקדמה 80% ביחס ל- 2020</t>
  </si>
  <si>
    <t>תשלום בפועל יולי 2020</t>
  </si>
  <si>
    <t>מכבי אלקטרה תל אביב</t>
  </si>
  <si>
    <t>מכבי</t>
  </si>
  <si>
    <t>החברה לפיתוח הכדוריד בפתח תקוה</t>
  </si>
  <si>
    <t>הפועל הרצליה בע"מ</t>
  </si>
  <si>
    <t>הפועל</t>
  </si>
  <si>
    <t>מכבי הרצליה</t>
  </si>
  <si>
    <t>בני השרון כדורסל בע"מ (בני הרצליה)</t>
  </si>
  <si>
    <t>בנות הרצליה כדורסל בע"מ</t>
  </si>
  <si>
    <t>מועדון שחמ"ט-באר-שבע</t>
  </si>
  <si>
    <t>עצמאי</t>
  </si>
  <si>
    <t>מועדון מכבי צפון תל-אביב</t>
  </si>
  <si>
    <t>אסא תל אביב</t>
  </si>
  <si>
    <t>מועדון חיפה לכדורת הדשא</t>
  </si>
  <si>
    <t>עוצמה</t>
  </si>
  <si>
    <t>אליצור קרית אתא - טנ"ש</t>
  </si>
  <si>
    <t>אליצור</t>
  </si>
  <si>
    <t>ל.כ.ן לקידום כדורסל נשים</t>
  </si>
  <si>
    <t>אגודת ספורט "שמשון" תל אביב</t>
  </si>
  <si>
    <t>מסד אליצור רחובות (פתח תקווה)</t>
  </si>
  <si>
    <t>האגודה לג'ודו והתגוננויות</t>
  </si>
  <si>
    <t>עמותת ידידי אגודת הפועל כפר שלם לקידום החינוך התרבות הנוער והספורט כפר שלם</t>
  </si>
  <si>
    <t>מכבי מעלה אדומים</t>
  </si>
  <si>
    <t>מכבי מכבים</t>
  </si>
  <si>
    <t>הפועל תל אביב- מועדון ימי קיאקים- שיט- חתירה</t>
  </si>
  <si>
    <t>הפועל לוד</t>
  </si>
  <si>
    <t>מועדון הברידג' כפר סבא</t>
  </si>
  <si>
    <t>מכבי ראשל"צ כדורסל</t>
  </si>
  <si>
    <t>המרכז לחינוך וספורט ימי אילת</t>
  </si>
  <si>
    <t>אגודת באולינג אמריקאי רמת גן</t>
  </si>
  <si>
    <t>מועדון שחמט הרצליה</t>
  </si>
  <si>
    <t>עמותת הכדורסל 1990 הפועל פתח תקוה</t>
  </si>
  <si>
    <t>עמותתה מועדון הספורט עמישב</t>
  </si>
  <si>
    <t>עמותת רחף</t>
  </si>
  <si>
    <t xml:space="preserve">א.ס.א. באר שבע בן-גוריון בנגב </t>
  </si>
  <si>
    <t>ביתר מיכה ראשון</t>
  </si>
  <si>
    <t>ביתר</t>
  </si>
  <si>
    <t>עמותת הספורט ואומניות הלחימה המשולש וג'לג'וליה</t>
  </si>
  <si>
    <t>מכבי פתח תקווה</t>
  </si>
  <si>
    <t>בית הספר לספורט השגי כרמיאל</t>
  </si>
  <si>
    <t>מכבי השרון נתניה</t>
  </si>
  <si>
    <t>מועדון קלעי חיפה</t>
  </si>
  <si>
    <t>מכבי קרית שרת כדוריד</t>
  </si>
  <si>
    <t>עמותת הספורט החינוך והתרבות בכפר תרשיחא</t>
  </si>
  <si>
    <t>א.ב.א ראשל"צ</t>
  </si>
  <si>
    <t>אליצור פתח תקוה שחמט</t>
  </si>
  <si>
    <t>הפועל אשדוד ענפים</t>
  </si>
  <si>
    <t>עמותת הפועל נווה שאנן כדור עף</t>
  </si>
  <si>
    <t>מועדון הכדורסל מכבי כלנית כרמיאל</t>
  </si>
  <si>
    <t>איגוד ספורטיבי דתי אליצור קרית אתא כדורסל</t>
  </si>
  <si>
    <t>עמותת ידידי מכבי רמת חן</t>
  </si>
  <si>
    <t>א.כ. נס ציונה</t>
  </si>
  <si>
    <t>מועדון כדורסל מכבי תל אביב</t>
  </si>
  <si>
    <t>אליצור רעננה</t>
  </si>
  <si>
    <t>הפועל כפר סבא מועדון כדורעף</t>
  </si>
  <si>
    <t>הפועל בני סכנין</t>
  </si>
  <si>
    <t>מועדון ספורט הוד השרון</t>
  </si>
  <si>
    <t>אליצור ירושלים כדורסל</t>
  </si>
  <si>
    <t>הפועל טבעון טניס</t>
  </si>
  <si>
    <t>מועדון קרח בת ים</t>
  </si>
  <si>
    <t>מכבי פתח תקווה עצמאות</t>
  </si>
  <si>
    <t>מועדון שחמט אשדוד</t>
  </si>
  <si>
    <t>מכבי חיפה כרמל</t>
  </si>
  <si>
    <t>העמותה לקידום הנוער בכדורסל -הפועל ירושלים</t>
  </si>
  <si>
    <t>איגוד ספורטיבי דתי אליצור רמת גן</t>
  </si>
  <si>
    <t>מכבי תיכון חדרה כדורעף</t>
  </si>
  <si>
    <t>מועדון הקליעה הפועל כפר סבא</t>
  </si>
  <si>
    <t>עמותה לקידום ספורט בכדור יד ברמת גן</t>
  </si>
  <si>
    <t>קרן קרית מלאכי לפיתוח הספורט</t>
  </si>
  <si>
    <t>העמותה לקידום הטוקאנדו האריות</t>
  </si>
  <si>
    <t>שמשון בני טייבה</t>
  </si>
  <si>
    <t>כפפות הזהב נהריה</t>
  </si>
  <si>
    <t>ביתר כפר כנא</t>
  </si>
  <si>
    <t>עמותה לקידום הכדורעף בקרית אתא</t>
  </si>
  <si>
    <t>הפועל ת''א-עמותת מחלקת ההתעמלות</t>
  </si>
  <si>
    <t>מיטב קידום מודיעין</t>
  </si>
  <si>
    <t>מיטב ירושלים</t>
  </si>
  <si>
    <t>אחי יהודה</t>
  </si>
  <si>
    <t>מועדון הכדורסל הוד השרון</t>
  </si>
  <si>
    <t>העמותה לקידום השיט בנהריה</t>
  </si>
  <si>
    <t>מכבי הארזים רמת גן</t>
  </si>
  <si>
    <t>מועדון הקליעה רעננה</t>
  </si>
  <si>
    <t>הפועל מופת בת ים</t>
  </si>
  <si>
    <t>מועדון מכבי הוד השרון כדורעף</t>
  </si>
  <si>
    <t>מיטב בת ים</t>
  </si>
  <si>
    <t>מ.ט. גבעת אלה חיפה</t>
  </si>
  <si>
    <t>מועדון הגו'דו מכבי הרצליה</t>
  </si>
  <si>
    <t>פטנק רוטשילד תל אביב</t>
  </si>
  <si>
    <t>מועדון האקרובטיקה וההתעמלות מכבי דן</t>
  </si>
  <si>
    <t>מועדון אתלטיקה קלה מכבי ראשון לציון</t>
  </si>
  <si>
    <t>מועדון לענפי ספורט מכבי תל אביב</t>
  </si>
  <si>
    <t>מועדון כדורעף רעננה</t>
  </si>
  <si>
    <t>העמותה לקידום השחיה בקרית אונו</t>
  </si>
  <si>
    <t>אונו כדוריד- ספורט</t>
  </si>
  <si>
    <t>מועדון פטנק ראשון לציון</t>
  </si>
  <si>
    <t>עירוני ניר רמת השרון</t>
  </si>
  <si>
    <t>מועדון כדוריד מכבי ראשון</t>
  </si>
  <si>
    <t>ק.ק תל אביב</t>
  </si>
  <si>
    <t>מכבי הלוחם הצעיר</t>
  </si>
  <si>
    <t>איגוד רוכבי האופניים בתל אביב</t>
  </si>
  <si>
    <t>אגוד ספורטיבי דתי אליצור גבעת שמואל</t>
  </si>
  <si>
    <t>הפועל כאוכב</t>
  </si>
  <si>
    <t>מועדון השגי מכבי בני הנגב באר שבע</t>
  </si>
  <si>
    <t>עמותת חולון 2000 לספורט עממי</t>
  </si>
  <si>
    <t>קידום הסיוף בבאר שבע</t>
  </si>
  <si>
    <t>מועדון ניווט גליל</t>
  </si>
  <si>
    <t>עמותת צעירי הנגב - רהט</t>
  </si>
  <si>
    <t>עומתת בית"ר רמלה טניס שולחן</t>
  </si>
  <si>
    <t>הפועל אפרא מעברות קליעה</t>
  </si>
  <si>
    <t>ביתר אשדוד כדורסל</t>
  </si>
  <si>
    <t>מסטרס חיפה מועדון אופניים</t>
  </si>
  <si>
    <t>עמותת מועדון הכדורסל מכבי אום אל פחם</t>
  </si>
  <si>
    <t>ה.ל.ה.ב</t>
  </si>
  <si>
    <t>מועדון טניס הרצליה</t>
  </si>
  <si>
    <t>העמותה לקידום הספורט ותרבות הפנאי שומרון</t>
  </si>
  <si>
    <t>ספורטאי מכבי אשדוד</t>
  </si>
  <si>
    <t>מועדון כדורסל עוצמה מודיעין</t>
  </si>
  <si>
    <t>כאן בשבילך- מגדל העמק</t>
  </si>
  <si>
    <t>עמותה לקידום הספורט בעמק המעיינות</t>
  </si>
  <si>
    <t>מועדון הכדורסל מכבי פרדס חנה / קיסריה</t>
  </si>
  <si>
    <t>ביתר מעלה אדומים</t>
  </si>
  <si>
    <t>הפועל כפר קנא</t>
  </si>
  <si>
    <t>מועדון ספורט עילבון</t>
  </si>
  <si>
    <t>עמותה לקידום הספורט בעמק חפר</t>
  </si>
  <si>
    <t>העמותה לקידום כדורגל נשים הפועל באר שבע נשים</t>
  </si>
  <si>
    <t>עמותה לקידום הספורט בחבל אילות</t>
  </si>
  <si>
    <t>עמותת הספורט כחול לבן - בעמק יזרעאל</t>
  </si>
  <si>
    <t>מועדון ספורט באר שבע</t>
  </si>
  <si>
    <t>העמותה לקידום הספורט במטה אשר</t>
  </si>
  <si>
    <t>עמותת השחר לקידום הספורט וחינוך גופני בבאקה</t>
  </si>
  <si>
    <t>עמותת הספורט בזבולון</t>
  </si>
  <si>
    <t>מסד פתח תקווה</t>
  </si>
  <si>
    <t>העמותה לקידום הספורט ביואב</t>
  </si>
  <si>
    <t>העמותה לקידום הכדורסל הפועל ארזים אשדוד</t>
  </si>
  <si>
    <t>מועדון ספורט החרשים בתל אביב</t>
  </si>
  <si>
    <t>עמותת מועדון השייט הפועל זבולון עכו</t>
  </si>
  <si>
    <t>שועאע כפר קאסם</t>
  </si>
  <si>
    <t>מועדון ספורט טירה</t>
  </si>
  <si>
    <t>מועדון הטניס אביחיל עמק חפר</t>
  </si>
  <si>
    <t>אסא טכניון חיפה</t>
  </si>
  <si>
    <t>עמותת זמרין להתעמלות מכשירים  וספורט</t>
  </si>
  <si>
    <t>הפועל "הדור הצעיר" סכנין</t>
  </si>
  <si>
    <t>עמותת באולינג אשדוד 2006</t>
  </si>
  <si>
    <t>מכסי נווה גנים מוצקין</t>
  </si>
  <si>
    <t>מכבי מועדון התעמלות אריאל</t>
  </si>
  <si>
    <t>ס.א.ן ספורט אירועים נופש רמלה</t>
  </si>
  <si>
    <t>מועדון ההתעמלות האומנותית מכבי השרון</t>
  </si>
  <si>
    <t>מועדון כדור יד באר שבע</t>
  </si>
  <si>
    <t>אסיסט לנוער בסיכון - גליל</t>
  </si>
  <si>
    <t>אליצור הוד השרון</t>
  </si>
  <si>
    <t>אלשאגור לקידום ספורט חינוך ותרבות</t>
  </si>
  <si>
    <t>כפפות הזהב -כוכבי נצרת</t>
  </si>
  <si>
    <t>במידה טובה טניס</t>
  </si>
  <si>
    <t>מכבי קביליו יפו</t>
  </si>
  <si>
    <t>ניצני גן יבנה כדורסל</t>
  </si>
  <si>
    <t>א.ס. סביון</t>
  </si>
  <si>
    <t>העמותה לקידום ענף הקראטה התחרותי בבאר שבע ובנגב</t>
  </si>
  <si>
    <t>מועדון הפוטבול האמריקאי בירושלים</t>
  </si>
  <si>
    <t>אל נאדי אל אורתודוקסי עמותת ספורט בנצרת</t>
  </si>
  <si>
    <t>אקדמיה לטניס הפועל תל אביב</t>
  </si>
  <si>
    <t>מכבי בת ים</t>
  </si>
  <si>
    <t>הפועל פתח תקווה גברים כדוריד</t>
  </si>
  <si>
    <t>עמותת בני קלנסואה לספורט טוב יותר</t>
  </si>
  <si>
    <t>אלוף הג'ודו בבאר שבע</t>
  </si>
  <si>
    <t>צעירי ברטעה</t>
  </si>
  <si>
    <t>פייטינג ספיריט</t>
  </si>
  <si>
    <t>הישגי באר שבע האבקות חופשית</t>
  </si>
  <si>
    <t>העמותה לקידום כדורסל נשים ירושלים</t>
  </si>
  <si>
    <t>הפועל טירת הכרמל</t>
  </si>
  <si>
    <t>העמותה לקידום הספורט והאחווה יקנעם</t>
  </si>
  <si>
    <t>אתגר לירוחם</t>
  </si>
  <si>
    <t>הפועל חיפה טניס שולחן</t>
  </si>
  <si>
    <t>העמותה לעידוד הספורטאי החרש אשדוד</t>
  </si>
  <si>
    <t>עמותה לפיתוח ספורטאים בישראל -לוד</t>
  </si>
  <si>
    <t>ביתר ירושלים בכדרוסל</t>
  </si>
  <si>
    <t>מסד הר חברון</t>
  </si>
  <si>
    <t>העמותה לקידום הכדורסל בגליל העליון</t>
  </si>
  <si>
    <t>עמותת ספורט אלופי נחף</t>
  </si>
  <si>
    <t>מורדי יהודה</t>
  </si>
  <si>
    <t>העתיד ג'דידה מכר</t>
  </si>
  <si>
    <t>עוצמה בועז</t>
  </si>
  <si>
    <t>גודוגו האקדמיה הראשונה לגודו</t>
  </si>
  <si>
    <t>מועדון כדרוגל בנות נתניה</t>
  </si>
  <si>
    <t>העמותה לקידום הכדורעף בירושלים וסביבותיה</t>
  </si>
  <si>
    <t>עלה גלגולים כרמיאל</t>
  </si>
  <si>
    <t>מועדון ספורט חיפה רובי שפירא</t>
  </si>
  <si>
    <t>אדם בספורט ג'ודו בשרון</t>
  </si>
  <si>
    <t>ראשונים ברוח ספורטיבית</t>
  </si>
  <si>
    <t>האדומים של אשדוד</t>
  </si>
  <si>
    <t>עמותת פרחי הספורט לקידום הספורט בגדרה</t>
  </si>
  <si>
    <t>מועדון ספורט איחוד דרום השרון</t>
  </si>
  <si>
    <t>מועדון בדמינטון יהוד</t>
  </si>
  <si>
    <t>סלעים איתנים</t>
  </si>
  <si>
    <t>עמותה להתעמלות אומנותית אשקלון</t>
  </si>
  <si>
    <t>גולדן טניס נתניה</t>
  </si>
  <si>
    <t>כפר ורדים</t>
  </si>
  <si>
    <t>החברה לפיתוח גני תקווה בע"מ</t>
  </si>
  <si>
    <t>מרכז קוסל ירושלים</t>
  </si>
  <si>
    <t>מועדון הכדורגל נווה יוסף</t>
  </si>
  <si>
    <t>אליצור חולון</t>
  </si>
  <si>
    <t>חוסן באר שבע (אס"ח)</t>
  </si>
  <si>
    <t>אליצור אלקנה</t>
  </si>
  <si>
    <t>מכבי אורנית</t>
  </si>
  <si>
    <t>א.ס רמת השרון</t>
  </si>
  <si>
    <t>העמותה לקידום הספורט בגבעתיים</t>
  </si>
  <si>
    <t>הפועל אחווה חיפה</t>
  </si>
  <si>
    <t>הפועל אעבלין לכדורסל</t>
  </si>
  <si>
    <t xml:space="preserve"> הווארנג טאקוונדו ירושלים</t>
  </si>
  <si>
    <t>העמותה לקידום הספורט בנצרת עלית</t>
  </si>
  <si>
    <t>ב"ס  לכדורגל פרדס חנה</t>
  </si>
  <si>
    <t>עמותה לקידום הכדורסל "הפועל סביונים גן יבנה"</t>
  </si>
  <si>
    <t>הפועל נועם פרדסיה</t>
  </si>
  <si>
    <t>מיטב קידום רחובות</t>
  </si>
  <si>
    <t>מיטב לקידום הספורט באור עקיבא</t>
  </si>
  <si>
    <t>מועדון כדורסל בנות אשדוד</t>
  </si>
  <si>
    <t>עמותה לקידום הספורט בערד</t>
  </si>
  <si>
    <t>מועדון ספורט אורתודוכסים יפו</t>
  </si>
  <si>
    <t>הפעול בית יצחק שער חפר</t>
  </si>
  <si>
    <t>מועדון סקי מים בכבלים תל אביב</t>
  </si>
  <si>
    <t>עמותת שחייני אשדוד</t>
  </si>
  <si>
    <t>עמותת הוקי רולר ראשון לציון</t>
  </si>
  <si>
    <t>מכבי בני הרצליה</t>
  </si>
  <si>
    <t>העמותה לקידום כדורגל נשים בפתח תקווה</t>
  </si>
  <si>
    <t>עמותת דרך לעתיד</t>
  </si>
  <si>
    <t>הפועל עפולה</t>
  </si>
  <si>
    <t>מועדון כדורסל גלבוע עפולה</t>
  </si>
  <si>
    <t>קאנטרי קלאב כפר סבא</t>
  </si>
  <si>
    <t>אקווטלון נתניה</t>
  </si>
  <si>
    <t>העמותה לקידום מועדון הכדורגל הפועל איחוד קריית אונו 2003</t>
  </si>
  <si>
    <t>העמותה לקידום השחייה ברחובות</t>
  </si>
  <si>
    <t>הפועל עירוני אעבלין</t>
  </si>
  <si>
    <t>מועדון כדורגל ארזים חולון</t>
  </si>
  <si>
    <t>עמותת נצרת 2003</t>
  </si>
  <si>
    <t>ביתר כפר סבא</t>
  </si>
  <si>
    <t>עמותת הספורט בעמק הירדן</t>
  </si>
  <si>
    <t>אחי עכו</t>
  </si>
  <si>
    <t>מועדון רזי הטאקוונדו</t>
  </si>
  <si>
    <t>פועלים באדום</t>
  </si>
  <si>
    <t>מועדון לקידום כדורגל נשים ברמת השרון</t>
  </si>
  <si>
    <t>העמותה לתרבות חינוך וספורט לילדי טירה והמשולש</t>
  </si>
  <si>
    <t>בני אילת - מועדון כדורגל</t>
  </si>
  <si>
    <t>עמותת איתן- ספורט מים אתגרי בירושלים</t>
  </si>
  <si>
    <t>אליצור תל אביב</t>
  </si>
  <si>
    <t>מועדון כדורת הדשא קרית אונו</t>
  </si>
  <si>
    <t>העמותה לפיתוח ענף ספורטיבי לריקודים סלוניים ולטינו אמריקאיים</t>
  </si>
  <si>
    <t>הפועל באר שבע עתיד הנגב כדורסל</t>
  </si>
  <si>
    <t>העמותה לטיפוח מצויינות כדורסל אשקלון</t>
  </si>
  <si>
    <t>עמותת מועדון השייט מכמורת עמק חפר</t>
  </si>
  <si>
    <t>מועדון ספורט באקה אלגרבייה</t>
  </si>
  <si>
    <t>בני אום אל פאחם</t>
  </si>
  <si>
    <t>מועדון ספורט חרשים יהוד מונסון</t>
  </si>
  <si>
    <t>עמותת באולינג נגב</t>
  </si>
  <si>
    <t>ביתר נורדיה ירושלים</t>
  </si>
  <si>
    <t>מכבי עמי נצרת עלית ספורט</t>
  </si>
  <si>
    <t>העמותה לקידום הספורט והחינוך אריאל</t>
  </si>
  <si>
    <t>אליצור לוד</t>
  </si>
  <si>
    <t>העמותה לקידום טניס שולחן בר"ג</t>
  </si>
  <si>
    <t>הפועל רצים בעבודה</t>
  </si>
  <si>
    <t>דולפיני אשדוד</t>
  </si>
  <si>
    <t>עמותת רוגבי ינשופי רחובות</t>
  </si>
  <si>
    <t>מכבי דרך יבול הבשור</t>
  </si>
  <si>
    <t>החברה לפיתוח הכדורגל בשכונות פתח תקווה</t>
  </si>
  <si>
    <t>דור העתיד קרית אונו</t>
  </si>
  <si>
    <t>הפועל באר שבע</t>
  </si>
  <si>
    <t>הפועל כפר סבא שלי</t>
  </si>
  <si>
    <t>מכבי אחי נצרת</t>
  </si>
  <si>
    <t>מועדון השייטים תל אביב</t>
  </si>
  <si>
    <t>מועדון ספורט עירוני אשדוד</t>
  </si>
  <si>
    <t>האגודה לקידום הספורט באזור שער הנגב</t>
  </si>
  <si>
    <t>ארגון נכי צה"ל</t>
  </si>
  <si>
    <t>פטנק קלוב נתניה</t>
  </si>
  <si>
    <t>הפועל בני יהודה רמת הגולן</t>
  </si>
  <si>
    <t>איגוד ספורטיבי אליצור כוכב יאיר</t>
  </si>
  <si>
    <t>אגודת כדורת רחובות</t>
  </si>
  <si>
    <t>אגודת באולינג פתח תקווה</t>
  </si>
  <si>
    <t>מועדון עירוני להתעמלות חולון</t>
  </si>
  <si>
    <t>מועדון ראגבי השרון</t>
  </si>
  <si>
    <t>אגודת שחייה מכבי נהרייה</t>
  </si>
  <si>
    <t>עמותת הגליל לקידום הספורט</t>
  </si>
  <si>
    <t>עמותת אליצור "מייסדים" כרמיאל</t>
  </si>
  <si>
    <t>עמותת כדורגל הפועל מגדל העמק</t>
  </si>
  <si>
    <t>שוטוקאן ריו נהריה 1996</t>
  </si>
  <si>
    <t>מודעון הספורט קריית חיים</t>
  </si>
  <si>
    <t>עמותת ידידי ביתר רמת גן - כדורגל</t>
  </si>
  <si>
    <t>מועדון הסיוף הפועל כפר סבא</t>
  </si>
  <si>
    <t>אגודת ספורט הפועל עומר</t>
  </si>
  <si>
    <t>מיטב תל אביב</t>
  </si>
  <si>
    <t>עמותת שח קריות והצפון (אליצור קרית שמואל)</t>
  </si>
  <si>
    <t>כוכב דוד קרית גת</t>
  </si>
  <si>
    <t>מיטב אילת</t>
  </si>
  <si>
    <t>מיטב נתניה</t>
  </si>
  <si>
    <t>מיטב אשדוד</t>
  </si>
  <si>
    <t>אליצור חשמונאים ראשון</t>
  </si>
  <si>
    <t>עמותת ספורט דור העתיד בכדורסל הפועל גבעתיים</t>
  </si>
  <si>
    <t>עוצמת יפרח</t>
  </si>
  <si>
    <t>טייגרס סופט בול</t>
  </si>
  <si>
    <t>ספורטילנד שהם</t>
  </si>
  <si>
    <t xml:space="preserve">הפועל הרצליה </t>
  </si>
  <si>
    <t>סיכוי לצעירים חיפה</t>
  </si>
  <si>
    <t>הפועל נצרת עלית</t>
  </si>
  <si>
    <t>מועדון באולינג חוצות 2000</t>
  </si>
  <si>
    <t>רעננה סופטבול קבוצת סופטבול</t>
  </si>
  <si>
    <t>מועדון כדורסל הפועל טבריה</t>
  </si>
  <si>
    <t>מכבי רחובות</t>
  </si>
  <si>
    <t>הפועל המעפיל</t>
  </si>
  <si>
    <t>עמותה לקידום הטניס ברמלה</t>
  </si>
  <si>
    <t>העמותה לקידום הספורט רמת נגב</t>
  </si>
  <si>
    <t>הפועל ניקה באר שבע</t>
  </si>
  <si>
    <t>עמותה עירונית לקידום הספורט באיזור מגידו</t>
  </si>
  <si>
    <t>העמותה לקידום הספורט בחבל בני שמעון</t>
  </si>
  <si>
    <t>דור העתיד לטניס רמת השרון</t>
  </si>
  <si>
    <t>העמותה להפועל ברנר</t>
  </si>
  <si>
    <t>עמותת שוחרי ספורט כפר יונה</t>
  </si>
  <si>
    <t>אגודת כדוריד ראשון לציון</t>
  </si>
  <si>
    <t>עירוני קרית אונו</t>
  </si>
  <si>
    <t>קלוב התעופה - חדרה</t>
  </si>
  <si>
    <t>נוער חולון לקידום הספורט</t>
  </si>
  <si>
    <t>העמותה לקידום הכדוריד ברחובות</t>
  </si>
  <si>
    <t>מועדון הכדורסל אליצור אשדוד</t>
  </si>
  <si>
    <t>מ.ס רמת אביב</t>
  </si>
  <si>
    <t>העמותה מעגן מיכאל/ שדות ים ספורט</t>
  </si>
  <si>
    <t>הפועל להבים</t>
  </si>
  <si>
    <t>מ.ס. צעירי שיכון המזרח</t>
  </si>
  <si>
    <t>העמותה לקידום הספורט במשגב</t>
  </si>
  <si>
    <t>מכבי שהם</t>
  </si>
  <si>
    <t>עמותה לספורט הפועל לב השרון</t>
  </si>
  <si>
    <t>כדור נוצה פתח תקוה</t>
  </si>
  <si>
    <t>העמותה לעידוד ענפי הכדוריד והכדורסל בדימונה</t>
  </si>
  <si>
    <t>מכבי הבילויים גדרה</t>
  </si>
  <si>
    <t>מועדון לקידום כדורגל נשים בחולון</t>
  </si>
  <si>
    <t>שרעבי אומנויות לחימה</t>
  </si>
  <si>
    <t>אתגר רעננה</t>
  </si>
  <si>
    <t>הפועל תקוה תל אביב</t>
  </si>
  <si>
    <t>עמותת שחר לספורט וחינוך אעבלין</t>
  </si>
  <si>
    <t>מרכז ברקאי לחינוך כדורגל ודו קיום</t>
  </si>
  <si>
    <t>מועדון כדורסל מכבי קריית מוצקין</t>
  </si>
  <si>
    <t>יוניפייט</t>
  </si>
  <si>
    <t>מועדון ספורט כדורגל ביתר נהריה</t>
  </si>
  <si>
    <t>אליצור יבנה</t>
  </si>
  <si>
    <t>ספורטאי מודיעין עיר העתיד</t>
  </si>
  <si>
    <t>אליצור אשקלון בנות</t>
  </si>
  <si>
    <t>מועדון השחיה הפועל קרית טבעון</t>
  </si>
  <si>
    <t>עמותה לקידום ענפי ספורט אולימפיים לוד והסביבה</t>
  </si>
  <si>
    <t>עמותת טניס קלאב עמק חפר</t>
  </si>
  <si>
    <t>מועדון בדמינטון חצור</t>
  </si>
  <si>
    <t>העמותה לקידום הספורט אופקים- כדורסל</t>
  </si>
  <si>
    <t>הפועל גנ"צ ורבורג מ.א דרום השרון</t>
  </si>
  <si>
    <t>לוחמי הטאקוונדו</t>
  </si>
  <si>
    <t>מרכז למקצועות קרב אולימפיים ולאומנויות לחימה- כרמיאל</t>
  </si>
  <si>
    <t>תקוות הספורט כפר קאסם</t>
  </si>
  <si>
    <t>העמותה לקידום הרווחה והספורט עין מאהל</t>
  </si>
  <si>
    <t>עמותה לטיפוח הכדורסל 2010 נהריה</t>
  </si>
  <si>
    <t>אנדרדוגס פוטבול</t>
  </si>
  <si>
    <t>מיזונו נתניה</t>
  </si>
  <si>
    <t>העמותה לפיתוח הספורט והאתלטיקה בירושלים</t>
  </si>
  <si>
    <t>הפועל חיפה כדור סל- לב אדום</t>
  </si>
  <si>
    <t>אופק מרכזי טניס שולחן</t>
  </si>
  <si>
    <t>דרקון הזהב - אומנויות לחימה</t>
  </si>
  <si>
    <t>עמותת הנוער לספורט בתל מונד</t>
  </si>
  <si>
    <t>העמותה לקידום הספורט ההשגי בנהריה</t>
  </si>
  <si>
    <t>העמותה לקידום הספורט במרכז כנא מאיר</t>
  </si>
  <si>
    <t>חמושב חוסן יהודה אדרי</t>
  </si>
  <si>
    <t>מרכז ספורט והתעמלות אור עקיבא</t>
  </si>
  <si>
    <t>סנונית אקרובטיקה  והתעמלות</t>
  </si>
  <si>
    <t>אגודת אתלטיקה גלילית</t>
  </si>
  <si>
    <t>500 וואט עמקים</t>
  </si>
  <si>
    <t>הישגי כרמיאל בענפי הספורט</t>
  </si>
  <si>
    <t>כוכבי העתיד לספורט ואדי עארה (ערערה)</t>
  </si>
  <si>
    <t>מועדון ספורט בית שאן</t>
  </si>
  <si>
    <t>ביתר ירושלים</t>
  </si>
  <si>
    <t>הפועל רמת גן אסי</t>
  </si>
  <si>
    <t>בני הרצליה</t>
  </si>
  <si>
    <t>מבנה טיפוס צוקים לזכרו של שגיא בלאו ז"ל</t>
  </si>
  <si>
    <t>מועדון שחמ"ט-ראשון לציון</t>
  </si>
  <si>
    <t>מכבי תל אביב כדורגל</t>
  </si>
  <si>
    <t>התאגדות לתרבות גופנית הפועל נתניה</t>
  </si>
  <si>
    <t>מכבי נתניה איגרוף</t>
  </si>
  <si>
    <t>הפועל חובטי אריה ב"ש</t>
  </si>
  <si>
    <t>רוכבי הנגב</t>
  </si>
  <si>
    <t>קבוצת ותיקי אשקלון - כדורגל</t>
  </si>
  <si>
    <t>רומח אבירים סיוף עכו</t>
  </si>
  <si>
    <t>מכבי מתנס תל כביר</t>
  </si>
  <si>
    <t>העמותה לקידום הספורט ביהוד</t>
  </si>
  <si>
    <t>הפועל רעננה</t>
  </si>
  <si>
    <t>עמותה לקידום הספורט ההישגי במעלות תרשיחא</t>
  </si>
  <si>
    <t>מועדון ספורט בית דגן</t>
  </si>
  <si>
    <t>העמותה לקידום הספורט בנצר סירני</t>
  </si>
  <si>
    <t>עמותת הספורט במטה יהודה</t>
  </si>
  <si>
    <t>האבקות הפועל עכו בית ספר לעתודה אולימפית</t>
  </si>
  <si>
    <t>אדמה רוח ואש</t>
  </si>
  <si>
    <t>כדורסלני מכבי אשדוד</t>
  </si>
  <si>
    <t>ע.ל.ה העמותה לקידום הספורט ברעננה</t>
  </si>
  <si>
    <t>עלה אור יהודה</t>
  </si>
  <si>
    <t>קידום הספורט באור יהודה</t>
  </si>
  <si>
    <t>העמותה לקידום כדורסל נשים בנתניה</t>
  </si>
  <si>
    <t>העמותה הכללית לספורט באילת</t>
  </si>
  <si>
    <t>המרכז לרכיבת אופניים ולחברה</t>
  </si>
  <si>
    <t>הפועל בני לוד רכבת</t>
  </si>
  <si>
    <t>העמותה לקידום הטניס בנצרת והסביבה</t>
  </si>
  <si>
    <t>קשתי מכבי ראשון</t>
  </si>
  <si>
    <t>עמותת דור ספורטיבי דיר חנא</t>
  </si>
  <si>
    <t>מועדון כדורגל עירוני אור יהודה</t>
  </si>
  <si>
    <t>הפועל תמרה</t>
  </si>
  <si>
    <t>מועדון ספורט שוהם</t>
  </si>
  <si>
    <t>חינוך ספורט וטאקוונדו</t>
  </si>
  <si>
    <t>עמותת הספורט העירונית ראש העין</t>
  </si>
  <si>
    <t>עמותה לקידום ספורט נשים הפועל טייבה</t>
  </si>
  <si>
    <t>קייאקים זבולון ת"א</t>
  </si>
  <si>
    <t>קידום הכדורסל בגוש עציון</t>
  </si>
  <si>
    <t>קידום הספורט במודיעין</t>
  </si>
  <si>
    <t>עמותת ספורט וכדורגל בקרית גת</t>
  </si>
  <si>
    <t>חץ ומטרה אופניים</t>
  </si>
  <si>
    <t>רובאי ישראל</t>
  </si>
  <si>
    <t>עמותת אלנסיג לספורט מגד אל כרום</t>
  </si>
  <si>
    <t>האקדמיה לבדמינטון אזור יהוד</t>
  </si>
  <si>
    <t>קוגוריו פייטרס</t>
  </si>
  <si>
    <t>אתגר בנגב</t>
  </si>
  <si>
    <t>מכבי ג'ים ק. ביאליק</t>
  </si>
  <si>
    <t>קאסה דאנס ריקודים סלונים בצפון</t>
  </si>
  <si>
    <t>עאון ללתעלים -עמותת קבוצת הכדורגל אלנהדה</t>
  </si>
  <si>
    <t>מועדון ספורט נתניה קולט כהן</t>
  </si>
  <si>
    <t>נ.ש.ג.ע נשים גליל עליון</t>
  </si>
  <si>
    <t>בית הספר לכדורגל ע"ש ארז אשכנזי</t>
  </si>
  <si>
    <t>עמותה לקידום ספורט הסיוף בתל אביב ובמרכז</t>
  </si>
  <si>
    <t>אייס חולון</t>
  </si>
  <si>
    <t>מסד רחובות</t>
  </si>
  <si>
    <t>לקידום ספורט הרוגבי וסביבותיה</t>
  </si>
  <si>
    <t>אלריאדה מן אג'ל בלדי שפרעם</t>
  </si>
  <si>
    <t>עמותת המולטי ספורט נס ציונה</t>
  </si>
  <si>
    <t>העמותה לקידום הכדורעף וכדורעף חופים באשדוד</t>
  </si>
  <si>
    <t>האחווה הכחולה</t>
  </si>
  <si>
    <t>מועדון רוגבי הדרים</t>
  </si>
  <si>
    <t>העמותה לקידום הספורט הדרכיבה ביגור</t>
  </si>
  <si>
    <t>העמותה למצוינות בספורט מכבי קרית חיים</t>
  </si>
  <si>
    <t>ע.ר.כ - עין רעננה כדורסל</t>
  </si>
  <si>
    <t>עצמה האתלט ראשון לציון</t>
  </si>
  <si>
    <t>ביתר תל אביב רמלה</t>
  </si>
  <si>
    <t>הפועל מגדל ירושלים</t>
  </si>
  <si>
    <t>מכבי נתניה חדש</t>
  </si>
  <si>
    <t>מועדון השייט טבריה</t>
  </si>
  <si>
    <t>העמותה לקידום הכדורסל בלוד</t>
  </si>
  <si>
    <t>הפועל רהט</t>
  </si>
  <si>
    <t>הכדור הרץ- ראשון לציון</t>
  </si>
  <si>
    <t>מועדון כדורת דשא רמת גן</t>
  </si>
  <si>
    <t>מרכז ספורט הרכיבה ברמת גן</t>
  </si>
  <si>
    <t>הפועל מרמורק</t>
  </si>
  <si>
    <t>עמותה לחינוך בלתי פורמלי נתניה</t>
  </si>
  <si>
    <t>הפועל עירוני יוקנעם</t>
  </si>
  <si>
    <t>העמותה לקידום השחייה והשחיינים קרית ביאליק</t>
  </si>
  <si>
    <t>העמותה לקידום התעמלות אומנותית בכפר סבא</t>
  </si>
  <si>
    <t>ביתר אשדוד טניס שולחן</t>
  </si>
  <si>
    <t>עמותה לקידום הטניס בבית ים</t>
  </si>
  <si>
    <t>קידום שחיה עומר</t>
  </si>
  <si>
    <t>מכבי נשר עזריה</t>
  </si>
  <si>
    <t>מכבי נווה שאנן חיפה</t>
  </si>
  <si>
    <t>מועדון השחמ"ט  פתח תקוה</t>
  </si>
  <si>
    <t>ירושלים רבתי שחייה</t>
  </si>
  <si>
    <t>הפועל יפיע</t>
  </si>
  <si>
    <t>הפועל גמביט קרית ביאליק</t>
  </si>
  <si>
    <t>מועדון מכבי ראשון לציון לבדמינטון</t>
  </si>
  <si>
    <t>חבל יבנה</t>
  </si>
  <si>
    <t>פטנק קריית ביאליק</t>
  </si>
  <si>
    <t>עמותת ניווט מודיעים</t>
  </si>
  <si>
    <t>הנוער של בית אליעזר חדרה</t>
  </si>
  <si>
    <t>עמותת טניס שולחן נס ציונה</t>
  </si>
  <si>
    <t>קבוצת הכדורגל שיכון ותיקים ר"ג</t>
  </si>
  <si>
    <t>גל אולימפי הפועל אשדוד</t>
  </si>
  <si>
    <t>הפועל נשר כדורסל לנוער</t>
  </si>
  <si>
    <t>מכבי שדרות</t>
  </si>
  <si>
    <t>הפועל מבשרת ציון</t>
  </si>
  <si>
    <t>מכבי יבנה</t>
  </si>
  <si>
    <t>מכבי כשרונות חדרה</t>
  </si>
  <si>
    <t>מועדון כדורסל כדור הפלא- ראשון לציון</t>
  </si>
  <si>
    <t>מועדון כדורסל כדור הפלא- ראשון לציון מכבי</t>
  </si>
  <si>
    <t>ניצני הספורט הטמרה</t>
  </si>
  <si>
    <t>העמותה להרחבת פעילות הספורט ביישובי המועצה האזורית חבל מודיעין</t>
  </si>
  <si>
    <t>הפועל יונט חולון החדשה</t>
  </si>
  <si>
    <t>פטנק מושב ניר צבי</t>
  </si>
  <si>
    <t>מכבי חדרה</t>
  </si>
  <si>
    <t>נושיט יד לילדי אילת</t>
  </si>
  <si>
    <t>עמותה לקידום הספורט והתרבות בכפר כאבול</t>
  </si>
  <si>
    <t>הפועל בנימינה גבעת עדה</t>
  </si>
  <si>
    <t>מעופפי הים</t>
  </si>
  <si>
    <t>העמותה לקידום השחיה הוד השרון</t>
  </si>
  <si>
    <t>איחוד בני מג'ד אל כרום- מג'ד אל כרום</t>
  </si>
  <si>
    <t>המרכז לטניס שולחן ירושלים</t>
  </si>
  <si>
    <t>אלמג'ד- מועדון ספורט ובריאות באעבלין</t>
  </si>
  <si>
    <t>העמותה לטיפוח הכדרוסל והספורט בהרי ירושלים</t>
  </si>
  <si>
    <t>העמותה לקידום בני נוער בכדורסל ובספורט מכבי רמת גן</t>
  </si>
  <si>
    <t>מועדון כדורגל מכבי נהריה 2011</t>
  </si>
  <si>
    <t>הפועל איכסאל עמאד</t>
  </si>
  <si>
    <t>מגיעים רחוק כדורעף נשים וגברים</t>
  </si>
  <si>
    <t>מכבי עוספיא כדורגל</t>
  </si>
  <si>
    <t>מכבי עמי שדרות</t>
  </si>
  <si>
    <t>קידום הספורט בק'רית מוצקין</t>
  </si>
  <si>
    <t>הפועל בני אשדוד</t>
  </si>
  <si>
    <t>כרמל מרכזי טניס שולחן</t>
  </si>
  <si>
    <t>עמותת קיק בוקס וספורט תחרותי כפר יאסיף</t>
  </si>
  <si>
    <t>מכבי אקרובטים - ירושלים</t>
  </si>
  <si>
    <t>משחקים למען השלום</t>
  </si>
  <si>
    <t>עמותת ספורט חוף הכרמל</t>
  </si>
  <si>
    <t>הגנה רעננה</t>
  </si>
  <si>
    <t>עמותה ספורטיבית "הכח" חיפה</t>
  </si>
  <si>
    <t>מכבי רעננה</t>
  </si>
  <si>
    <t>עירוני לוד</t>
  </si>
  <si>
    <t>מועדון איגרוף ירושלים</t>
  </si>
  <si>
    <t>עמותה לקידום הקליעה הפועל אשקלון</t>
  </si>
  <si>
    <t>התאגדות לתרבות גופנית הפועל ראשון לציון</t>
  </si>
  <si>
    <t>מועדון סיוף הפועל חיפה</t>
  </si>
  <si>
    <t>הפועל אשדוד טניס שולחן</t>
  </si>
  <si>
    <t>עמותת השחמט אשקלון</t>
  </si>
  <si>
    <t>קידום האבקות ברחובות</t>
  </si>
  <si>
    <t>עמותת אלנגום לקידום ספורט מג'דל כרום</t>
  </si>
  <si>
    <t>עירוני נס ציונה</t>
  </si>
  <si>
    <t>עמותת הספורט ההשגי בבית שמש וסביבותיה</t>
  </si>
  <si>
    <t>ביתר פתח תקווה</t>
  </si>
  <si>
    <t>מנארה לספורט וחינוך טייבה</t>
  </si>
  <si>
    <t>קטמון מועדון אוהדים</t>
  </si>
  <si>
    <t>אזור עתיד טוב לספורט</t>
  </si>
  <si>
    <t>אהלי באקה לקידום הספורט</t>
  </si>
  <si>
    <t>לפיד ראשון</t>
  </si>
  <si>
    <t>אלנאדי אלריאדי אחווה ביר אל מכסור</t>
  </si>
  <si>
    <t>מועדון האלופים דלית אל כרמל</t>
  </si>
  <si>
    <t>עמותת הפועל אום אל פאחם 2011</t>
  </si>
  <si>
    <t>מועדון ספורט כפר יאסיף</t>
  </si>
  <si>
    <t>אתלטיק קלאב פ"ת</t>
  </si>
  <si>
    <t>גול פעילות ספורטיבית אומרנות ותרבות שעב</t>
  </si>
  <si>
    <t>מועדון כדורגל מעיליא</t>
  </si>
  <si>
    <t>בני קדימה צורן</t>
  </si>
  <si>
    <t>כדורגל נשים רעננה</t>
  </si>
  <si>
    <t>הפועל רמת אליהו</t>
  </si>
  <si>
    <t>מכבי קרית עקרון</t>
  </si>
  <si>
    <t>מועדון כדורסל בני-יהודה ת''א</t>
  </si>
  <si>
    <t>מועדוני האבקות באר שבע</t>
  </si>
  <si>
    <t>ביתר אחוזה</t>
  </si>
  <si>
    <t>מועצה איזורית גליל עליון</t>
  </si>
  <si>
    <t>עמותת הכדורעף- אליצור אשקלון</t>
  </si>
  <si>
    <t>ביתר גבעת זאב</t>
  </si>
  <si>
    <t>מועדון טניס עפלה</t>
  </si>
  <si>
    <t>הפועל לכיש</t>
  </si>
  <si>
    <t>עמותת מכבי באר שבע בראשות אבוקסיס מוטי</t>
  </si>
  <si>
    <t>נתיבי הספורט נתיבות</t>
  </si>
  <si>
    <t>בני יהודה תל אביב</t>
  </si>
  <si>
    <t>מועדון ספורט גדרות</t>
  </si>
  <si>
    <t>אופק כרמיאל לכדורגל</t>
  </si>
  <si>
    <t>מכבי בת ים להאבקות</t>
  </si>
  <si>
    <t>עמותת ספורט נחף</t>
  </si>
  <si>
    <t>עמותת ספורט רב ענפי בנס ציונה</t>
  </si>
  <si>
    <t>מכבי צעירי כפר קרע</t>
  </si>
  <si>
    <t>כפפות הזהב טבריה</t>
  </si>
  <si>
    <t>העמותה לקידום ספורט נשים בקרית גת</t>
  </si>
  <si>
    <t>הפועל בנות זיכרון יעקב</t>
  </si>
  <si>
    <t>עמותת גבעת השופטים עופסיה</t>
  </si>
  <si>
    <t>מועדון הכדורסל מכבי קדימה צורן</t>
  </si>
  <si>
    <t>עמותת ספורט בקהילה דיר אל אסד</t>
  </si>
  <si>
    <t>עמותה לקידום כדורגל בחולון</t>
  </si>
  <si>
    <t>שייט חיפה</t>
  </si>
  <si>
    <t>הפועל "דולפין" נתניה - שחייה</t>
  </si>
  <si>
    <t>עמותת השחיה שוהם</t>
  </si>
  <si>
    <t>מועדון טיפוס ספורטיבי הישגי ירושלים</t>
  </si>
  <si>
    <t>עוצמה ג'ודוקאן מרכז רעננה</t>
  </si>
  <si>
    <t>מרכז הטניס רמת השרון</t>
  </si>
  <si>
    <t>אגודת הטניס בקרית ביאליק</t>
  </si>
  <si>
    <t>מועדון חתירה חיפה</t>
  </si>
  <si>
    <t>מרכז טניס מיתר</t>
  </si>
  <si>
    <t>הפועל זכרון יעקב</t>
  </si>
  <si>
    <t>עמותת שחייני ירושלים</t>
  </si>
  <si>
    <t>ותיקי לוד</t>
  </si>
  <si>
    <t>מועדון פטנק פרדסיה</t>
  </si>
  <si>
    <t>מועדון שחמט ע"ש שמואל שוחט (קרית חיים)</t>
  </si>
  <si>
    <t>העמותה לקידום הספורט במרחבים</t>
  </si>
  <si>
    <t>הפועל פתח תקווה- כדור מים</t>
  </si>
  <si>
    <t>מועדון טניס גלי השרון כפר סבא</t>
  </si>
  <si>
    <t>הפועל גבעת נשר</t>
  </si>
  <si>
    <t>מועדון הטניס שולחן הפועל עירוני נצרת עלית</t>
  </si>
  <si>
    <t>מיטב באר שבע</t>
  </si>
  <si>
    <t>העמותה לקידום הכדורסל באבו- סנאן</t>
  </si>
  <si>
    <t>מועדון הבדמינטון מכבי לוד</t>
  </si>
  <si>
    <t>בית"ר נילי חיפה 2000</t>
  </si>
  <si>
    <t>העמותה לקידום הספורט בגליל התחתון</t>
  </si>
  <si>
    <t>מכבי קרית מוצקין</t>
  </si>
  <si>
    <t>עמותה לקידום הספורט באלפי מנשה</t>
  </si>
  <si>
    <t>עמותת הפועל אבירי בת ים</t>
  </si>
  <si>
    <t>מועדון הספורט של החרשים חיפה</t>
  </si>
  <si>
    <t>עמותת ספורט מכבי כפר המכביה</t>
  </si>
  <si>
    <t>איחוד בני כפר קאסם</t>
  </si>
  <si>
    <t>מכבי בני ריינה</t>
  </si>
  <si>
    <t>אתלטי אורן השרון</t>
  </si>
  <si>
    <t>עמותה לקידום הספורט הצ'רקסי בישראל</t>
  </si>
  <si>
    <t>עמותת הפועל בני טובא זנגריה ענפים</t>
  </si>
  <si>
    <t>מועדון ספורט "אלפא ביתא" ראשל"צ</t>
  </si>
  <si>
    <t>הפועל אושיסקין תל אביב</t>
  </si>
  <si>
    <t>מועדון כדורסל הפועל "מרנין" קרית טבעון</t>
  </si>
  <si>
    <t>בני דודים אנחנו</t>
  </si>
  <si>
    <t>עמותת קיק בוקס סכנין</t>
  </si>
  <si>
    <t>הפועל דיר חנא</t>
  </si>
  <si>
    <t>הפועל פרדסיה</t>
  </si>
  <si>
    <t>הפועל בני ערערה</t>
  </si>
  <si>
    <t>מועדון לטיפוח הנוער בכדורגל בעיר הילדים חולון</t>
  </si>
  <si>
    <t>מכבי רעננה כדוריד</t>
  </si>
  <si>
    <t>עוצמה ג'ודוקאן ניפון רעות (חל"צ)</t>
  </si>
  <si>
    <t>מכבי חיפה כדורסל טריאנגל ג יוזמה</t>
  </si>
  <si>
    <t>מועדון שחמ"ט-כפר סבא</t>
  </si>
  <si>
    <t>כנות</t>
  </si>
  <si>
    <t>איילות רוכבי אופניים</t>
  </si>
  <si>
    <t>הפועל עראבה</t>
  </si>
  <si>
    <t>מכבי קרית אתא</t>
  </si>
  <si>
    <t>באוול 300- חולון</t>
  </si>
  <si>
    <t>העמותה לקידום הכדורגל בטבריה</t>
  </si>
  <si>
    <t>קידום הספורט במזכרת בתיה</t>
  </si>
  <si>
    <t>עמותת בני אכסאל</t>
  </si>
  <si>
    <t>עירוני דימונה כדורגל</t>
  </si>
  <si>
    <t>אשבאל לקידום ופיתוח ספורט תחרותי במג'אר</t>
  </si>
  <si>
    <t>זבולון שורק</t>
  </si>
  <si>
    <t>הפועל חוף השרון</t>
  </si>
  <si>
    <t>העמותה לקידום ספורט בית ספרי בתל אביב</t>
  </si>
  <si>
    <t>אליצור מכבי אשקלון</t>
  </si>
  <si>
    <t>קיקבוקס כנא</t>
  </si>
  <si>
    <t>הרמוני גבעתיים</t>
  </si>
  <si>
    <t>עירוני קריית שמונה</t>
  </si>
  <si>
    <t>הפועל חיפה</t>
  </si>
  <si>
    <t>מכבי חיפה- כדורגל</t>
  </si>
  <si>
    <t>מרה"ט תל אביב</t>
  </si>
  <si>
    <t xml:space="preserve">ביתר </t>
  </si>
  <si>
    <t>מרה"ט חיפה</t>
  </si>
  <si>
    <t>מרה"ט ירושלים</t>
  </si>
  <si>
    <t>ש.ש מועדנוני כדורגל - עליה</t>
  </si>
  <si>
    <t>בית חנוך עוורים לבני ישראל וירושלים</t>
  </si>
  <si>
    <t>הורי מחליקי גלגליות בחולון</t>
  </si>
  <si>
    <t>מועדון טניס מכבי נתניה</t>
  </si>
  <si>
    <t>אתלטי הסימטה</t>
  </si>
  <si>
    <t>הפועל כפר סבא בית ברל</t>
  </si>
  <si>
    <t>מכבי דרום מועדון התעמלות</t>
  </si>
  <si>
    <t>הפועל כפר סבא כדורסל</t>
  </si>
  <si>
    <t>מרכז הספורט הכללי- בני עייש</t>
  </si>
  <si>
    <t>מועדון ימי שחפית זבולון- חיפה</t>
  </si>
  <si>
    <t>הפועל עכו</t>
  </si>
  <si>
    <t>ותיקי ירושלים - קבוצת סופטבול</t>
  </si>
  <si>
    <t>עמותת הפועל רמות מנשה מגידו</t>
  </si>
  <si>
    <t>הפועל אשכול</t>
  </si>
  <si>
    <t>ביתר נווה אליעזר</t>
  </si>
  <si>
    <t>מועדעון ניווט חוף חפר</t>
  </si>
  <si>
    <t>מכבי מועדון ספורט יהודה רחובות</t>
  </si>
  <si>
    <t>עמותת באולינג הרצליה</t>
  </si>
  <si>
    <t>עמותה לקידום הספורט אבן יהודה</t>
  </si>
  <si>
    <t>עמותות מכבי באר שבע נשים</t>
  </si>
  <si>
    <t>מועדון טניס שולחן נתניה</t>
  </si>
  <si>
    <t>מכבי מועדון התעמלות קרית אונו</t>
  </si>
  <si>
    <t>העמותה לקידום ועידו ספורט כדורסל בהפועל תל אביב יפו- קרית עקרון</t>
  </si>
  <si>
    <t>קשתות פלשת 2006</t>
  </si>
  <si>
    <t>מכבי פארק המים רעות שחייה</t>
  </si>
  <si>
    <t>מועדון הכדורמים הפועל קרית טבעון</t>
  </si>
  <si>
    <t xml:space="preserve">קרית ים </t>
  </si>
  <si>
    <t>עמותת לטס דנס</t>
  </si>
  <si>
    <t>מועדון ירי מעשי הרצליה לנדסמן</t>
  </si>
  <si>
    <t>צעירי כפר כנא</t>
  </si>
  <si>
    <t>הפועל בני פסוטה</t>
  </si>
  <si>
    <t>מכבי כפר מנדא</t>
  </si>
  <si>
    <t>מכבי עמי אשקלון</t>
  </si>
  <si>
    <t>אגודת פוטבול נצרת</t>
  </si>
  <si>
    <t>נוער כבביר לדו קיום</t>
  </si>
  <si>
    <t>מכבי מתן</t>
  </si>
  <si>
    <t>הפועל גליל גלבוע</t>
  </si>
  <si>
    <t>מרכז אילן לספורט נכים</t>
  </si>
  <si>
    <t>פליפר עמותה לשחיה</t>
  </si>
  <si>
    <t>העמותה לקידום מועדון הכדורגל - גדנע תל אביב</t>
  </si>
  <si>
    <t>מועדון הכדורסל מכבי שהם</t>
  </si>
  <si>
    <t>הפועל בקעת הירדן</t>
  </si>
  <si>
    <t>ביתר באר שבע טניס שולחן 2000</t>
  </si>
  <si>
    <t>מועדון הרמת המשקולות מכבי רומנו הרצליה</t>
  </si>
  <si>
    <t>קשתות המאה ה21</t>
  </si>
  <si>
    <t>בני יהוד חינוך וספורט</t>
  </si>
  <si>
    <t>קשתי בית לחם הגלילית</t>
  </si>
  <si>
    <t>העמותה לכדורעף חופים בישראל</t>
  </si>
  <si>
    <t>עמותת אקדמיה לקידום ספורט טמרה</t>
  </si>
  <si>
    <t>א.ל- אומנות לחימה או- שו רחובות</t>
  </si>
  <si>
    <t>העמותה לקידום הספורט והתרבות פרדיס</t>
  </si>
  <si>
    <t>מועדון טניס קרית ים</t>
  </si>
  <si>
    <t>אליצור נוה דוד רמלה כדורסל</t>
  </si>
  <si>
    <t>מועדון סופטבול הקליע - בית שמש</t>
  </si>
  <si>
    <t>כדורגל בועיינה נוג'ידאת</t>
  </si>
  <si>
    <t>המרכז להתעמלות אומנותית בת ים</t>
  </si>
  <si>
    <t>כפפות הזהב עפולה</t>
  </si>
  <si>
    <t>הפועל מיתר</t>
  </si>
  <si>
    <t>העמותה לקידום הכדורסל בקריית ביאליק</t>
  </si>
  <si>
    <t>מועדון ברידג' נהריה</t>
  </si>
  <si>
    <t>טניס לב השרון</t>
  </si>
  <si>
    <t>עתיד ספורט פרדיס</t>
  </si>
  <si>
    <t>העמותה לקידום נוער וספורט בישוב עין אלסהלה</t>
  </si>
  <si>
    <t>עמותה לקידום הכדורסל בית שמש</t>
  </si>
  <si>
    <t>מועדון לכדורת נתניה</t>
  </si>
  <si>
    <t>העמותה לקשרי ספורט וחברה</t>
  </si>
  <si>
    <t>אולימפ- מועדון שחיה</t>
  </si>
  <si>
    <t>אטיוד - עמותה לקידום ענף השחמט בגוש דן</t>
  </si>
  <si>
    <t>עוצמה ג'ודוקאן כפר סבא</t>
  </si>
  <si>
    <t>עוצמה ג'ודוקאן מרכז פתח תקווה</t>
  </si>
  <si>
    <t>טאקוונדו הפועל כפר סבא</t>
  </si>
  <si>
    <t>עמותת  מועדון ניווט עמק יזרעאל</t>
  </si>
  <si>
    <t>הפועל נהריה</t>
  </si>
  <si>
    <t>כפפות הזהב כפר יסיף</t>
  </si>
  <si>
    <t>מכבי גבירול באר שבע</t>
  </si>
  <si>
    <t>עמותת הפיסגה</t>
  </si>
  <si>
    <t>מועדון ספורט חצור הגלילית</t>
  </si>
  <si>
    <t>עמותת בני אלסאלם רהט</t>
  </si>
  <si>
    <t>העמותה לקידום הספורט והפנאי בישראל אריאל</t>
  </si>
  <si>
    <t>מועדון כדור הזהב אשדוד</t>
  </si>
  <si>
    <t>נווה דוד חולון</t>
  </si>
  <si>
    <t>הפועל שפרעם</t>
  </si>
  <si>
    <t>מועדון שחיה קרית אתא</t>
  </si>
  <si>
    <t>סקווש בונד ישראל</t>
  </si>
  <si>
    <t>הפועל אריאל</t>
  </si>
  <si>
    <t>הפועל העמותה לקידום איקיגיצו</t>
  </si>
  <si>
    <t>פינירס תאקל פוטבול</t>
  </si>
  <si>
    <t>עמותת כפפות הזהב לאומנות לחינה סכנין</t>
  </si>
  <si>
    <t>סה"כ</t>
  </si>
  <si>
    <t>תשלום מרכזים</t>
  </si>
  <si>
    <t>גוולעד</t>
  </si>
  <si>
    <t>תשלום אגודות</t>
  </si>
  <si>
    <t>קיבלו תמיכה מעבר ל- 80% 2020, אבל לא חרגו מ- 100% 2020</t>
  </si>
  <si>
    <t>החזר מהטוטו למשרד 2019</t>
  </si>
  <si>
    <t>סה"כ תשלום לאחר קיזוז החזר</t>
  </si>
  <si>
    <t>מס'</t>
  </si>
  <si>
    <t>מועצה להסדר ההימורים - שוטף</t>
  </si>
  <si>
    <t>מועצה להסדר ההימורים - אחר פרט</t>
  </si>
  <si>
    <t>רשות מקומית - ציין שם הרשות</t>
  </si>
  <si>
    <t>שווי עלות מתנדבים</t>
  </si>
  <si>
    <t>שם מורשה חתימה 1</t>
  </si>
  <si>
    <t>שם מורשה חתימה 2</t>
  </si>
  <si>
    <t>חתימה:</t>
  </si>
  <si>
    <t>שם ומשפחה</t>
  </si>
  <si>
    <t>מספר ת.ז.</t>
  </si>
  <si>
    <t>שעות חודשיות</t>
  </si>
  <si>
    <t>מספר חודשים</t>
  </si>
  <si>
    <t>תעריף לשעה</t>
  </si>
  <si>
    <t>שווי מתנדבים צוות ניהול</t>
  </si>
  <si>
    <t>ביצוע 2019</t>
  </si>
  <si>
    <t>תקציב 2020 מעודכן משוער</t>
  </si>
  <si>
    <t>פירוט עלות שווי מתנדבים ניהולי תקציב מקור ומעודכן</t>
  </si>
  <si>
    <t>פירוט עלות שווי מתנדבים כללי תקציב מקור ומעודכן</t>
  </si>
  <si>
    <t>פירוט עלות שווי מתנדבים ניהולי ביצוע ינואר יוני</t>
  </si>
  <si>
    <t>פירוט עלות שווי מתנדבים כללי  ביצוע ינואר יוני</t>
  </si>
  <si>
    <t>תקציב מאוזן</t>
  </si>
  <si>
    <t>מגבלות שווי מתנדבים</t>
  </si>
  <si>
    <t>שיעור הנה"כ:</t>
  </si>
  <si>
    <t>שיעור הנה"כ ביצוע+צפי:</t>
  </si>
  <si>
    <t>ביצוע 19</t>
  </si>
  <si>
    <t>תקציב 20 מקור</t>
  </si>
  <si>
    <t>תקציב 20 מעודכן</t>
  </si>
  <si>
    <t>נושא</t>
  </si>
  <si>
    <t>בדיקת שווי מתנדבים</t>
  </si>
  <si>
    <t>מרכז ספורט - פרט</t>
  </si>
  <si>
    <t>בדיקת תקינות הדיווח</t>
  </si>
  <si>
    <t>שיעור הנה"כ 19:</t>
  </si>
  <si>
    <t>עמותה</t>
  </si>
  <si>
    <t>סהכ</t>
  </si>
  <si>
    <t>הוצאה פעילות נתמכת</t>
  </si>
  <si>
    <t>ביצוע בפועל</t>
  </si>
  <si>
    <t>ביצוע בפועל ינואר- יולי 2020</t>
  </si>
  <si>
    <t>צפי ביצוע אוג-דצמ 2020</t>
  </si>
  <si>
    <t>הכנסה עצמית</t>
  </si>
  <si>
    <t>ייעוד "רווחים"</t>
  </si>
  <si>
    <t>מכבי חיפה</t>
  </si>
  <si>
    <t>580618122</t>
  </si>
  <si>
    <t>העמותה לקידום הכדורעף באשדוד</t>
  </si>
  <si>
    <r>
      <rPr>
        <b/>
        <u val="single"/>
        <sz val="14"/>
        <rFont val="Arial"/>
        <family val="2"/>
      </rPr>
      <t>הצהרה</t>
    </r>
    <r>
      <rPr>
        <sz val="14"/>
        <rFont val="Arial"/>
        <family val="2"/>
      </rPr>
      <t xml:space="preserve">: הננו להצהיר, כי נעמוד בשיעור הכנסות </t>
    </r>
    <r>
      <rPr>
        <sz val="14"/>
        <color indexed="10"/>
        <rFont val="Arial"/>
        <family val="2"/>
      </rPr>
      <t>עצמיות</t>
    </r>
    <r>
      <rPr>
        <sz val="14"/>
        <rFont val="Arial"/>
        <family val="2"/>
      </rPr>
      <t xml:space="preserve"> של 10% מהתקציב המעודכן בגין הפעילות הנתמכת.</t>
    </r>
  </si>
</sst>
</file>

<file path=xl/styles.xml><?xml version="1.0" encoding="utf-8"?>
<styleSheet xmlns="http://schemas.openxmlformats.org/spreadsheetml/2006/main">
  <numFmts count="4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 * #,##0.0_ ;_ * \-#,##0.0_ ;_ * &quot;-&quot;??_ ;_ @_ "/>
    <numFmt numFmtId="178" formatCode="_ * #,##0_ ;_ * \-#,##0_ ;_ * &quot;-&quot;??_ ;_ @_ "/>
    <numFmt numFmtId="179" formatCode="#,##0.0"/>
    <numFmt numFmtId="180" formatCode="&quot;₪&quot;\ #,##0"/>
    <numFmt numFmtId="181" formatCode="_(* #,##0_);_(* \(#,##0\);_(* &quot;-&quot;??_);_(@_)"/>
    <numFmt numFmtId="182" formatCode="_-* #,##0_-;\-* #,##0_-;_-* &quot;-&quot;??_-;_-@_-"/>
    <numFmt numFmtId="183" formatCode="0_)"/>
    <numFmt numFmtId="184" formatCode="#,##0.000"/>
    <numFmt numFmtId="185" formatCode="#,##0.0000"/>
    <numFmt numFmtId="186" formatCode="0.0"/>
    <numFmt numFmtId="187" formatCode="_ * #,##0.000_ ;_ * \-#,##0.000_ ;_ * &quot;-&quot;??_ ;_ @_ "/>
    <numFmt numFmtId="188" formatCode="_ * #,##0.0000_ ;_ * \-#,##0.0000_ ;_ * &quot;-&quot;??_ ;_ @_ "/>
    <numFmt numFmtId="189" formatCode="_ * #,##0.00000_ ;_ * \-#,##0.00000_ ;_ * &quot;-&quot;??_ ;_ @_ "/>
    <numFmt numFmtId="190" formatCode="_ * #,##0.000000_ ;_ * \-#,##0.000000_ ;_ * &quot;-&quot;??_ ;_ @_ "/>
    <numFmt numFmtId="191" formatCode="_ * #,##0.0000000_ ;_ * \-#,##0.0000000_ ;_ * &quot;-&quot;??_ ;_ @_ "/>
    <numFmt numFmtId="192" formatCode="_ * #,##0.00000000_ ;_ * \-#,##0.00000000_ ;_ * &quot;-&quot;??_ ;_ @_ "/>
    <numFmt numFmtId="193" formatCode="_ * #,##0.000000000_ ;_ * \-#,##0.000000000_ ;_ * &quot;-&quot;??_ ;_ @_ "/>
    <numFmt numFmtId="194" formatCode="_ * #,##0.0000000000_ ;_ * \-#,##0.0000000000_ ;_ * &quot;-&quot;??_ ;_ @_ "/>
    <numFmt numFmtId="195" formatCode="_ * #,##0.00000000000_ ;_ * \-#,##0.00000000000_ ;_ * &quot;-&quot;??_ ;_ @_ "/>
    <numFmt numFmtId="196" formatCode="_ * #,##0.000000000000_ ;_ * \-#,##0.000000000000_ ;_ * &quot;-&quot;??_ ;_ @_ "/>
    <numFmt numFmtId="197" formatCode="_ * #,##0.0000000000000_ ;_ * \-#,##0.0000000000000_ ;_ * &quot;-&quot;??_ ;_ @_ "/>
    <numFmt numFmtId="198" formatCode="_(* #,##0.0_);_(* \(#,##0.0\);_(* &quot;-&quot;??_);_(@_)"/>
    <numFmt numFmtId="199" formatCode="_(* #,##0.000_);_(* \(#,##0.000\);_(* &quot;-&quot;??_);_(@_)"/>
    <numFmt numFmtId="200" formatCode="_(* #,##0.0000_);_(* \(#,##0.0000\);_(* &quot;-&quot;??_);_(@_)"/>
  </numFmts>
  <fonts count="8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color indexed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2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2"/>
      <name val="HEBMED"/>
      <family val="0"/>
    </font>
    <font>
      <b/>
      <sz val="18"/>
      <name val="Arial"/>
      <family val="2"/>
    </font>
    <font>
      <b/>
      <sz val="14"/>
      <name val="David"/>
      <family val="2"/>
    </font>
    <font>
      <sz val="10"/>
      <color indexed="8"/>
      <name val="Calibri"/>
      <family val="2"/>
    </font>
    <font>
      <b/>
      <sz val="11"/>
      <name val="David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2"/>
      <color indexed="10"/>
      <name val="Arial"/>
      <family val="2"/>
    </font>
    <font>
      <sz val="14"/>
      <color indexed="8"/>
      <name val="Arial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1"/>
      <color indexed="30"/>
      <name val="Arial"/>
      <family val="2"/>
    </font>
    <font>
      <sz val="11"/>
      <color indexed="60"/>
      <name val="Calibri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2"/>
      <color rgb="FFFF0000"/>
      <name val="Arial"/>
      <family val="2"/>
    </font>
    <font>
      <sz val="14"/>
      <color theme="1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  <font>
      <sz val="11"/>
      <color rgb="FF0070C0"/>
      <name val="Arial"/>
      <family val="2"/>
    </font>
    <font>
      <sz val="11"/>
      <color rgb="FFC00000"/>
      <name val="Calibri"/>
      <family val="2"/>
    </font>
    <font>
      <sz val="1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4"/>
      <color rgb="FFFF0000"/>
      <name val="Arial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9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0" fillId="26" borderId="1" applyNumberFormat="0" applyFon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41" fontId="0" fillId="0" borderId="0" applyFont="0" applyFill="0" applyBorder="0" applyAlignment="0" applyProtection="0"/>
    <xf numFmtId="0" fontId="70" fillId="30" borderId="2" applyNumberFormat="0" applyAlignment="0" applyProtection="0"/>
    <xf numFmtId="0" fontId="71" fillId="31" borderId="0" applyNumberFormat="0" applyBorder="0" applyAlignment="0" applyProtection="0"/>
    <xf numFmtId="0" fontId="72" fillId="32" borderId="8" applyNumberFormat="0" applyAlignment="0" applyProtection="0"/>
    <xf numFmtId="0" fontId="73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9" fontId="0" fillId="0" borderId="1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9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9" fontId="0" fillId="0" borderId="10" xfId="39" applyFont="1" applyFill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3" fontId="0" fillId="0" borderId="1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9" fontId="3" fillId="33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0" fontId="10" fillId="0" borderId="13" xfId="0" applyFont="1" applyBorder="1" applyAlignment="1">
      <alignment vertical="center" wrapText="1"/>
    </xf>
    <xf numFmtId="0" fontId="74" fillId="0" borderId="10" xfId="0" applyFont="1" applyFill="1" applyBorder="1" applyAlignment="1">
      <alignment wrapText="1"/>
    </xf>
    <xf numFmtId="3" fontId="74" fillId="0" borderId="10" xfId="0" applyNumberFormat="1" applyFont="1" applyFill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9" fontId="74" fillId="0" borderId="10" xfId="39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ont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14" xfId="0" applyFont="1" applyBorder="1" applyAlignment="1">
      <alignment vertical="center"/>
    </xf>
    <xf numFmtId="178" fontId="0" fillId="0" borderId="0" xfId="0" applyNumberFormat="1" applyAlignment="1">
      <alignment/>
    </xf>
    <xf numFmtId="9" fontId="0" fillId="0" borderId="0" xfId="39" applyFont="1" applyAlignment="1">
      <alignment/>
    </xf>
    <xf numFmtId="180" fontId="16" fillId="0" borderId="10" xfId="38" applyNumberFormat="1" applyFont="1" applyFill="1" applyBorder="1" applyAlignment="1" applyProtection="1">
      <alignment horizontal="right" vertical="center" wrapText="1"/>
      <protection/>
    </xf>
    <xf numFmtId="180" fontId="16" fillId="0" borderId="10" xfId="38" applyNumberFormat="1" applyFont="1" applyFill="1" applyBorder="1" applyAlignment="1" applyProtection="1">
      <alignment horizontal="center" vertical="center" wrapText="1"/>
      <protection/>
    </xf>
    <xf numFmtId="178" fontId="16" fillId="0" borderId="10" xfId="33" applyNumberFormat="1" applyFont="1" applyFill="1" applyBorder="1" applyAlignment="1" applyProtection="1">
      <alignment horizontal="center" vertical="center" wrapText="1"/>
      <protection/>
    </xf>
    <xf numFmtId="180" fontId="16" fillId="0" borderId="0" xfId="38" applyNumberFormat="1" applyFont="1" applyFill="1" applyBorder="1" applyAlignment="1" applyProtection="1">
      <alignment horizontal="center" vertical="center" wrapText="1"/>
      <protection/>
    </xf>
    <xf numFmtId="180" fontId="16" fillId="35" borderId="0" xfId="38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181" fontId="0" fillId="0" borderId="0" xfId="33" applyNumberFormat="1" applyFont="1" applyAlignment="1">
      <alignment/>
    </xf>
    <xf numFmtId="182" fontId="0" fillId="0" borderId="0" xfId="0" applyNumberFormat="1" applyAlignment="1">
      <alignment/>
    </xf>
    <xf numFmtId="178" fontId="75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76" fillId="0" borderId="10" xfId="0" applyFont="1" applyFill="1" applyBorder="1" applyAlignment="1">
      <alignment/>
    </xf>
    <xf numFmtId="0" fontId="77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76" fillId="8" borderId="10" xfId="0" applyFont="1" applyFill="1" applyBorder="1" applyAlignment="1">
      <alignment horizontal="right"/>
    </xf>
    <xf numFmtId="0" fontId="17" fillId="8" borderId="10" xfId="0" applyFont="1" applyFill="1" applyBorder="1" applyAlignment="1">
      <alignment horizontal="right"/>
    </xf>
    <xf numFmtId="0" fontId="17" fillId="8" borderId="10" xfId="0" applyFont="1" applyFill="1" applyBorder="1" applyAlignment="1">
      <alignment/>
    </xf>
    <xf numFmtId="0" fontId="0" fillId="8" borderId="0" xfId="0" applyFill="1" applyAlignment="1">
      <alignment/>
    </xf>
    <xf numFmtId="0" fontId="76" fillId="0" borderId="10" xfId="0" applyNumberFormat="1" applyFont="1" applyFill="1" applyBorder="1" applyAlignment="1">
      <alignment horizontal="right"/>
    </xf>
    <xf numFmtId="0" fontId="78" fillId="0" borderId="10" xfId="0" applyFont="1" applyFill="1" applyBorder="1" applyAlignment="1">
      <alignment/>
    </xf>
    <xf numFmtId="181" fontId="0" fillId="35" borderId="0" xfId="33" applyNumberFormat="1" applyFont="1" applyFill="1" applyAlignment="1">
      <alignment/>
    </xf>
    <xf numFmtId="0" fontId="17" fillId="0" borderId="10" xfId="0" applyFont="1" applyFill="1" applyBorder="1" applyAlignment="1">
      <alignment wrapText="1"/>
    </xf>
    <xf numFmtId="0" fontId="0" fillId="0" borderId="10" xfId="0" applyNumberFormat="1" applyFill="1" applyBorder="1" applyAlignment="1">
      <alignment horizontal="right"/>
    </xf>
    <xf numFmtId="0" fontId="13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9" fillId="0" borderId="10" xfId="0" applyFont="1" applyFill="1" applyBorder="1" applyAlignment="1">
      <alignment horizontal="right"/>
    </xf>
    <xf numFmtId="0" fontId="79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>
      <alignment horizontal="right"/>
    </xf>
    <xf numFmtId="0" fontId="76" fillId="0" borderId="10" xfId="0" applyFont="1" applyFill="1" applyBorder="1" applyAlignment="1">
      <alignment horizontal="right"/>
    </xf>
    <xf numFmtId="0" fontId="80" fillId="0" borderId="10" xfId="37" applyFont="1" applyFill="1" applyBorder="1" applyAlignment="1">
      <alignment horizontal="right" vertical="top"/>
      <protection/>
    </xf>
    <xf numFmtId="0" fontId="8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 vertical="center" readingOrder="2"/>
    </xf>
    <xf numFmtId="0" fontId="17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81" fillId="0" borderId="10" xfId="0" applyFont="1" applyFill="1" applyBorder="1" applyAlignment="1">
      <alignment/>
    </xf>
    <xf numFmtId="0" fontId="17" fillId="35" borderId="10" xfId="0" applyFont="1" applyFill="1" applyBorder="1" applyAlignment="1">
      <alignment horizontal="right"/>
    </xf>
    <xf numFmtId="0" fontId="17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178" fontId="0" fillId="35" borderId="0" xfId="0" applyNumberFormat="1" applyFill="1" applyAlignment="1">
      <alignment/>
    </xf>
    <xf numFmtId="0" fontId="8" fillId="8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right"/>
    </xf>
    <xf numFmtId="0" fontId="17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17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7" fillId="3" borderId="10" xfId="0" applyFont="1" applyFill="1" applyBorder="1" applyAlignment="1">
      <alignment horizontal="right"/>
    </xf>
    <xf numFmtId="0" fontId="17" fillId="3" borderId="10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/>
    </xf>
    <xf numFmtId="181" fontId="82" fillId="0" borderId="0" xfId="33" applyNumberFormat="1" applyFont="1" applyAlignment="1">
      <alignment/>
    </xf>
    <xf numFmtId="182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10" fontId="3" fillId="33" borderId="10" xfId="0" applyNumberFormat="1" applyFont="1" applyFill="1" applyBorder="1" applyAlignment="1">
      <alignment/>
    </xf>
    <xf numFmtId="4" fontId="74" fillId="0" borderId="10" xfId="0" applyNumberFormat="1" applyFont="1" applyFill="1" applyBorder="1" applyAlignment="1">
      <alignment/>
    </xf>
    <xf numFmtId="10" fontId="0" fillId="0" borderId="0" xfId="39" applyNumberFormat="1" applyFont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19" fillId="0" borderId="0" xfId="0" applyFont="1" applyAlignment="1">
      <alignment/>
    </xf>
    <xf numFmtId="178" fontId="83" fillId="0" borderId="0" xfId="33" applyNumberFormat="1" applyFont="1" applyAlignment="1">
      <alignment/>
    </xf>
    <xf numFmtId="178" fontId="20" fillId="26" borderId="10" xfId="33" applyNumberFormat="1" applyFont="1" applyFill="1" applyBorder="1" applyAlignment="1">
      <alignment horizontal="right" wrapText="1"/>
    </xf>
    <xf numFmtId="43" fontId="20" fillId="0" borderId="0" xfId="33" applyFont="1" applyAlignment="1">
      <alignment horizontal="center"/>
    </xf>
    <xf numFmtId="0" fontId="0" fillId="26" borderId="10" xfId="0" applyFont="1" applyFill="1" applyBorder="1" applyAlignment="1">
      <alignment wrapText="1"/>
    </xf>
    <xf numFmtId="3" fontId="0" fillId="26" borderId="10" xfId="0" applyNumberFormat="1" applyFill="1" applyBorder="1" applyAlignment="1">
      <alignment/>
    </xf>
    <xf numFmtId="9" fontId="0" fillId="26" borderId="10" xfId="39" applyFont="1" applyFill="1" applyBorder="1" applyAlignment="1">
      <alignment/>
    </xf>
    <xf numFmtId="3" fontId="0" fillId="26" borderId="12" xfId="0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84" fillId="0" borderId="0" xfId="0" applyFont="1" applyAlignment="1">
      <alignment/>
    </xf>
    <xf numFmtId="0" fontId="0" fillId="0" borderId="10" xfId="0" applyFont="1" applyBorder="1" applyAlignment="1">
      <alignment/>
    </xf>
    <xf numFmtId="178" fontId="0" fillId="0" borderId="0" xfId="33" applyNumberFormat="1" applyFont="1" applyAlignment="1">
      <alignment horizontal="center"/>
    </xf>
    <xf numFmtId="178" fontId="0" fillId="0" borderId="10" xfId="33" applyNumberFormat="1" applyFont="1" applyBorder="1" applyAlignment="1">
      <alignment/>
    </xf>
    <xf numFmtId="9" fontId="0" fillId="0" borderId="16" xfId="0" applyNumberForma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78" fontId="0" fillId="0" borderId="0" xfId="33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26" borderId="10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6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9" fontId="0" fillId="0" borderId="0" xfId="39" applyFont="1" applyAlignment="1">
      <alignment wrapText="1"/>
    </xf>
    <xf numFmtId="0" fontId="4" fillId="0" borderId="0" xfId="0" applyFont="1" applyAlignment="1">
      <alignment horizontal="left" wrapText="1"/>
    </xf>
    <xf numFmtId="9" fontId="0" fillId="35" borderId="0" xfId="39" applyFont="1" applyFill="1" applyAlignment="1">
      <alignment/>
    </xf>
    <xf numFmtId="181" fontId="0" fillId="35" borderId="0" xfId="33" applyNumberFormat="1" applyFont="1" applyFill="1" applyAlignment="1">
      <alignment/>
    </xf>
    <xf numFmtId="182" fontId="0" fillId="35" borderId="0" xfId="0" applyNumberFormat="1" applyFill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17" xfId="0" applyFont="1" applyFill="1" applyBorder="1" applyAlignment="1">
      <alignment/>
    </xf>
    <xf numFmtId="0" fontId="85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8" fontId="0" fillId="0" borderId="0" xfId="0" applyNumberFormat="1" applyFill="1" applyAlignment="1">
      <alignment/>
    </xf>
    <xf numFmtId="9" fontId="0" fillId="0" borderId="0" xfId="39" applyFont="1" applyFill="1" applyAlignment="1">
      <alignment/>
    </xf>
    <xf numFmtId="181" fontId="0" fillId="0" borderId="0" xfId="33" applyNumberFormat="1" applyFont="1" applyFill="1" applyAlignment="1">
      <alignment/>
    </xf>
    <xf numFmtId="182" fontId="0" fillId="0" borderId="0" xfId="0" applyNumberFormat="1" applyFill="1" applyAlignment="1">
      <alignment/>
    </xf>
    <xf numFmtId="0" fontId="21" fillId="0" borderId="18" xfId="0" applyNumberFormat="1" applyFont="1" applyFill="1" applyBorder="1" applyAlignment="1" applyProtection="1">
      <alignment wrapText="1"/>
      <protection/>
    </xf>
    <xf numFmtId="4" fontId="21" fillId="0" borderId="18" xfId="0" applyNumberFormat="1" applyFont="1" applyFill="1" applyBorder="1" applyAlignment="1" applyProtection="1">
      <alignment wrapText="1"/>
      <protection/>
    </xf>
    <xf numFmtId="0" fontId="9" fillId="0" borderId="17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0" borderId="0" xfId="0" applyFont="1" applyBorder="1" applyAlignment="1">
      <alignment horizontal="left" vertical="center" wrapText="1"/>
    </xf>
    <xf numFmtId="14" fontId="0" fillId="26" borderId="19" xfId="0" applyNumberFormat="1" applyFill="1" applyBorder="1" applyAlignment="1">
      <alignment/>
    </xf>
    <xf numFmtId="43" fontId="22" fillId="0" borderId="0" xfId="33" applyFont="1" applyAlignment="1">
      <alignment horizontal="center"/>
    </xf>
    <xf numFmtId="9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23" fillId="26" borderId="16" xfId="0" applyFont="1" applyFill="1" applyBorder="1" applyAlignment="1">
      <alignment/>
    </xf>
    <xf numFmtId="0" fontId="6" fillId="0" borderId="0" xfId="0" applyFont="1" applyAlignment="1">
      <alignment/>
    </xf>
    <xf numFmtId="178" fontId="86" fillId="0" borderId="0" xfId="0" applyNumberFormat="1" applyFont="1" applyAlignment="1">
      <alignment horizontal="center"/>
    </xf>
    <xf numFmtId="178" fontId="0" fillId="0" borderId="0" xfId="33" applyNumberFormat="1" applyFont="1" applyFill="1" applyAlignment="1">
      <alignment/>
    </xf>
    <xf numFmtId="178" fontId="86" fillId="0" borderId="10" xfId="0" applyNumberFormat="1" applyFont="1" applyBorder="1" applyAlignment="1">
      <alignment horizontal="center"/>
    </xf>
    <xf numFmtId="0" fontId="25" fillId="35" borderId="10" xfId="0" applyNumberFormat="1" applyFont="1" applyFill="1" applyBorder="1" applyAlignment="1" applyProtection="1">
      <alignment wrapText="1"/>
      <protection/>
    </xf>
    <xf numFmtId="0" fontId="17" fillId="35" borderId="10" xfId="0" applyNumberFormat="1" applyFont="1" applyFill="1" applyBorder="1" applyAlignment="1" applyProtection="1">
      <alignment horizontal="right" wrapText="1"/>
      <protection/>
    </xf>
    <xf numFmtId="178" fontId="0" fillId="26" borderId="10" xfId="33" applyNumberFormat="1" applyFont="1" applyFill="1" applyBorder="1" applyAlignment="1">
      <alignment/>
    </xf>
    <xf numFmtId="0" fontId="87" fillId="35" borderId="10" xfId="0" applyNumberFormat="1" applyFont="1" applyFill="1" applyBorder="1" applyAlignment="1" applyProtection="1">
      <alignment wrapText="1"/>
      <protection/>
    </xf>
    <xf numFmtId="178" fontId="86" fillId="35" borderId="0" xfId="0" applyNumberFormat="1" applyFont="1" applyFill="1" applyAlignment="1">
      <alignment horizontal="center"/>
    </xf>
    <xf numFmtId="0" fontId="17" fillId="0" borderId="17" xfId="0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178" fontId="0" fillId="26" borderId="0" xfId="33" applyNumberFormat="1" applyFon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35" borderId="10" xfId="0" applyNumberFormat="1" applyFill="1" applyBorder="1" applyAlignment="1">
      <alignment/>
    </xf>
    <xf numFmtId="9" fontId="0" fillId="0" borderId="0" xfId="39" applyFont="1" applyFill="1" applyBorder="1" applyAlignment="1">
      <alignment/>
    </xf>
    <xf numFmtId="9" fontId="0" fillId="0" borderId="10" xfId="39" applyFont="1" applyBorder="1" applyAlignment="1">
      <alignment/>
    </xf>
    <xf numFmtId="181" fontId="0" fillId="0" borderId="10" xfId="33" applyNumberFormat="1" applyFont="1" applyBorder="1" applyAlignment="1">
      <alignment/>
    </xf>
    <xf numFmtId="181" fontId="0" fillId="35" borderId="10" xfId="33" applyNumberFormat="1" applyFont="1" applyFill="1" applyBorder="1" applyAlignment="1">
      <alignment/>
    </xf>
    <xf numFmtId="178" fontId="86" fillId="0" borderId="0" xfId="0" applyNumberFormat="1" applyFont="1" applyBorder="1" applyAlignment="1">
      <alignment horizontal="center"/>
    </xf>
    <xf numFmtId="177" fontId="0" fillId="0" borderId="0" xfId="0" applyNumberFormat="1" applyFill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3" fillId="26" borderId="21" xfId="0" applyFont="1" applyFill="1" applyBorder="1" applyAlignment="1">
      <alignment horizontal="right" wrapText="1"/>
    </xf>
    <xf numFmtId="0" fontId="3" fillId="26" borderId="20" xfId="0" applyFont="1" applyFill="1" applyBorder="1" applyAlignment="1">
      <alignment horizontal="right" wrapText="1"/>
    </xf>
    <xf numFmtId="0" fontId="11" fillId="0" borderId="0" xfId="0" applyFont="1" applyAlignment="1">
      <alignment horizontal="center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Normal 2" xfId="36"/>
    <cellStyle name="Normal 2 2 2 2" xfId="37"/>
    <cellStyle name="Normal 4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rightToLeft="1" tabSelected="1" zoomScaleSheetLayoutView="100" zoomScalePageLayoutView="0" workbookViewId="0" topLeftCell="A1">
      <pane ySplit="4" topLeftCell="A44" activePane="bottomLeft" state="frozen"/>
      <selection pane="topLeft" activeCell="A1" sqref="A1"/>
      <selection pane="bottomLeft" activeCell="K19" sqref="K19"/>
    </sheetView>
  </sheetViews>
  <sheetFormatPr defaultColWidth="9.140625" defaultRowHeight="12.75"/>
  <cols>
    <col min="1" max="1" width="29.57421875" style="2" customWidth="1"/>
    <col min="2" max="2" width="15.421875" style="2" customWidth="1"/>
    <col min="3" max="3" width="15.421875" style="0" hidden="1" customWidth="1"/>
    <col min="4" max="4" width="16.57421875" style="0" customWidth="1"/>
    <col min="5" max="5" width="12.421875" style="0" customWidth="1"/>
    <col min="6" max="6" width="15.57421875" style="0" customWidth="1"/>
    <col min="7" max="7" width="13.57421875" style="0" customWidth="1"/>
    <col min="8" max="8" width="11.140625" style="0" customWidth="1"/>
    <col min="9" max="9" width="14.8515625" style="0" hidden="1" customWidth="1"/>
    <col min="11" max="11" width="15.57421875" style="0" customWidth="1"/>
  </cols>
  <sheetData>
    <row r="1" spans="1:5" ht="9" customHeight="1">
      <c r="A1" s="4"/>
      <c r="B1" s="4"/>
      <c r="C1" s="5"/>
      <c r="D1" s="6"/>
      <c r="E1" s="7"/>
    </row>
    <row r="2" spans="1:10" ht="23.25" customHeight="1" thickBot="1">
      <c r="A2" s="165"/>
      <c r="C2" s="41"/>
      <c r="D2" s="36"/>
      <c r="J2" s="121" t="s">
        <v>25</v>
      </c>
    </row>
    <row r="3" spans="1:8" ht="30" customHeight="1" thickBot="1">
      <c r="A3" s="52" t="s">
        <v>48</v>
      </c>
      <c r="B3" s="44" t="s">
        <v>26</v>
      </c>
      <c r="D3" s="194" t="str">
        <f>INDEX(שם_עמותה,גיליון2!A5,0)</f>
        <v>איגוד ספורטיבי אליצור כוכב יאיר</v>
      </c>
      <c r="E3" s="195"/>
      <c r="F3" s="170">
        <f>INDEX(מספר_עמותה,גיליון2!A5,0)</f>
        <v>580161032</v>
      </c>
      <c r="G3" s="8" t="s">
        <v>2</v>
      </c>
      <c r="H3" s="166"/>
    </row>
    <row r="4" spans="1:9" ht="27">
      <c r="A4" s="34" t="s">
        <v>8</v>
      </c>
      <c r="B4" s="21" t="s">
        <v>793</v>
      </c>
      <c r="C4" s="21" t="s">
        <v>27</v>
      </c>
      <c r="D4" s="45" t="s">
        <v>794</v>
      </c>
      <c r="E4" s="45" t="s">
        <v>815</v>
      </c>
      <c r="F4" s="46" t="s">
        <v>0</v>
      </c>
      <c r="G4" s="21" t="s">
        <v>816</v>
      </c>
      <c r="H4" s="21" t="s">
        <v>12</v>
      </c>
      <c r="I4" s="45" t="s">
        <v>49</v>
      </c>
    </row>
    <row r="5" spans="1:9" ht="18.75" customHeight="1">
      <c r="A5" s="48" t="s">
        <v>14</v>
      </c>
      <c r="B5" s="48"/>
      <c r="C5" s="15"/>
      <c r="D5" s="15"/>
      <c r="E5" s="15"/>
      <c r="F5" s="17"/>
      <c r="G5" s="30"/>
      <c r="H5" s="16"/>
      <c r="I5" s="1"/>
    </row>
    <row r="6" spans="1:9" ht="25.5">
      <c r="A6" s="49" t="s">
        <v>15</v>
      </c>
      <c r="B6" s="49"/>
      <c r="C6" s="49"/>
      <c r="D6" s="49"/>
      <c r="E6" s="49"/>
      <c r="F6" s="22">
        <f aca="true" t="shared" si="0" ref="F6:F16">_xlfn.IFERROR(IF(AND(D6=0,E6=0),0,E6/D6),"")</f>
        <v>0</v>
      </c>
      <c r="G6" s="28"/>
      <c r="H6" s="22">
        <f aca="true" t="shared" si="1" ref="H6:H16">_xlfn.IFERROR(IF((G6+E6)=0,0,(G6+E6)/D6),"")</f>
        <v>0</v>
      </c>
      <c r="I6" s="1"/>
    </row>
    <row r="7" spans="1:9" ht="12.75">
      <c r="A7" s="49" t="s">
        <v>16</v>
      </c>
      <c r="B7" s="49"/>
      <c r="C7" s="12"/>
      <c r="D7" s="12"/>
      <c r="E7" s="12"/>
      <c r="F7" s="22">
        <f t="shared" si="0"/>
        <v>0</v>
      </c>
      <c r="G7" s="28"/>
      <c r="H7" s="22">
        <f t="shared" si="1"/>
        <v>0</v>
      </c>
      <c r="I7" s="1"/>
    </row>
    <row r="8" spans="1:9" ht="12.75">
      <c r="A8" s="49" t="s">
        <v>17</v>
      </c>
      <c r="B8" s="49"/>
      <c r="C8" s="18"/>
      <c r="D8" s="12"/>
      <c r="E8" s="12"/>
      <c r="F8" s="22">
        <f t="shared" si="0"/>
        <v>0</v>
      </c>
      <c r="G8" s="28"/>
      <c r="H8" s="22">
        <f t="shared" si="1"/>
        <v>0</v>
      </c>
      <c r="I8" s="1"/>
    </row>
    <row r="9" spans="1:9" ht="12.75">
      <c r="A9" s="49" t="s">
        <v>18</v>
      </c>
      <c r="B9" s="49"/>
      <c r="C9" s="12"/>
      <c r="D9" s="12"/>
      <c r="E9" s="12"/>
      <c r="F9" s="22">
        <f t="shared" si="0"/>
        <v>0</v>
      </c>
      <c r="G9" s="28"/>
      <c r="H9" s="22">
        <f t="shared" si="1"/>
        <v>0</v>
      </c>
      <c r="I9" s="1"/>
    </row>
    <row r="10" spans="1:9" ht="25.5">
      <c r="A10" s="49" t="s">
        <v>19</v>
      </c>
      <c r="B10" s="49"/>
      <c r="C10" s="12"/>
      <c r="D10" s="12"/>
      <c r="E10" s="12"/>
      <c r="F10" s="22">
        <f t="shared" si="0"/>
        <v>0</v>
      </c>
      <c r="G10" s="28"/>
      <c r="H10" s="22">
        <f t="shared" si="1"/>
        <v>0</v>
      </c>
      <c r="I10" s="1"/>
    </row>
    <row r="11" spans="1:9" ht="12.75">
      <c r="A11" s="49" t="s">
        <v>20</v>
      </c>
      <c r="B11" s="49"/>
      <c r="C11" s="12"/>
      <c r="D11" s="12"/>
      <c r="E11" s="12"/>
      <c r="F11" s="22">
        <f t="shared" si="0"/>
        <v>0</v>
      </c>
      <c r="G11" s="28"/>
      <c r="H11" s="22">
        <f t="shared" si="1"/>
        <v>0</v>
      </c>
      <c r="I11" s="1"/>
    </row>
    <row r="12" spans="1:9" ht="12.75">
      <c r="A12" s="49" t="s">
        <v>21</v>
      </c>
      <c r="B12" s="49"/>
      <c r="C12" s="12"/>
      <c r="D12" s="12"/>
      <c r="E12" s="12"/>
      <c r="F12" s="22">
        <f t="shared" si="0"/>
        <v>0</v>
      </c>
      <c r="G12" s="28"/>
      <c r="H12" s="22">
        <f t="shared" si="1"/>
        <v>0</v>
      </c>
      <c r="I12" s="1"/>
    </row>
    <row r="13" spans="1:9" ht="12.75">
      <c r="A13" s="49" t="s">
        <v>22</v>
      </c>
      <c r="B13" s="49"/>
      <c r="C13" s="12"/>
      <c r="D13" s="12"/>
      <c r="E13" s="12"/>
      <c r="F13" s="22">
        <f t="shared" si="0"/>
        <v>0</v>
      </c>
      <c r="G13" s="28"/>
      <c r="H13" s="22">
        <f t="shared" si="1"/>
        <v>0</v>
      </c>
      <c r="I13" s="1"/>
    </row>
    <row r="14" spans="1:9" ht="12.75">
      <c r="A14" s="49" t="s">
        <v>23</v>
      </c>
      <c r="B14" s="49"/>
      <c r="C14" s="12"/>
      <c r="D14" s="12"/>
      <c r="E14" s="12"/>
      <c r="F14" s="22">
        <f t="shared" si="0"/>
        <v>0</v>
      </c>
      <c r="G14" s="28"/>
      <c r="H14" s="22">
        <f t="shared" si="1"/>
        <v>0</v>
      </c>
      <c r="I14" s="1"/>
    </row>
    <row r="15" spans="1:9" ht="12.75">
      <c r="A15" s="20" t="s">
        <v>34</v>
      </c>
      <c r="B15" s="20"/>
      <c r="C15" s="12"/>
      <c r="D15" s="12"/>
      <c r="E15" s="12"/>
      <c r="F15" s="22">
        <f t="shared" si="0"/>
        <v>0</v>
      </c>
      <c r="G15" s="28"/>
      <c r="H15" s="22">
        <f t="shared" si="1"/>
        <v>0</v>
      </c>
      <c r="I15" s="1"/>
    </row>
    <row r="16" spans="1:9" ht="12.75">
      <c r="A16" s="125" t="s">
        <v>792</v>
      </c>
      <c r="B16" s="125"/>
      <c r="C16" s="139">
        <f>+'שווי מתנדבים'!G14</f>
        <v>0</v>
      </c>
      <c r="D16" s="139">
        <f>+'שווי מתנדבים'!G14</f>
        <v>0</v>
      </c>
      <c r="E16" s="126">
        <f>+'שווי מתנדבים'!O14</f>
        <v>0</v>
      </c>
      <c r="F16" s="127">
        <f t="shared" si="0"/>
        <v>0</v>
      </c>
      <c r="G16" s="128"/>
      <c r="H16" s="127">
        <f t="shared" si="1"/>
        <v>0</v>
      </c>
      <c r="I16" s="1"/>
    </row>
    <row r="17" spans="1:9" ht="12.75">
      <c r="A17" s="20"/>
      <c r="B17" s="20"/>
      <c r="C17" s="12"/>
      <c r="D17" s="12"/>
      <c r="E17" s="12"/>
      <c r="F17" s="22">
        <f>_xlfn.IFERROR(IF(AND(D17=0,E17=0),0,E17/D17),"")</f>
        <v>0</v>
      </c>
      <c r="G17" s="28"/>
      <c r="H17" s="22">
        <f>_xlfn.IFERROR(IF((G17+E17)=0,0,(G17+E17)/D17),"")</f>
        <v>0</v>
      </c>
      <c r="I17" s="1"/>
    </row>
    <row r="18" spans="1:9" s="13" customFormat="1" ht="18.75" customHeight="1">
      <c r="A18" s="42" t="s">
        <v>24</v>
      </c>
      <c r="B18" s="43">
        <f>SUM(B6:B17)</f>
        <v>0</v>
      </c>
      <c r="C18" s="43">
        <f>SUM(C6:C17)</f>
        <v>0</v>
      </c>
      <c r="D18" s="43">
        <f>SUM(D6:D17)</f>
        <v>0</v>
      </c>
      <c r="E18" s="43">
        <f>SUM(E6:E17)</f>
        <v>0</v>
      </c>
      <c r="F18" s="47">
        <f>_xlfn.IFERROR(IF(AND(D18=0,E18=0),0,E18/D18),"")</f>
        <v>0</v>
      </c>
      <c r="G18" s="43">
        <f>SUM(G6:G17)</f>
        <v>0</v>
      </c>
      <c r="H18" s="47">
        <f>_xlfn.IFERROR(IF((G18+E18)=0,0,(G18+E18)/D18),"")</f>
        <v>0</v>
      </c>
      <c r="I18" s="43">
        <f>SUM(I6:I17)</f>
        <v>0</v>
      </c>
    </row>
    <row r="19" spans="1:9" ht="18.75" customHeight="1">
      <c r="A19" s="48" t="s">
        <v>6</v>
      </c>
      <c r="B19" s="35"/>
      <c r="C19" s="15"/>
      <c r="D19" s="15"/>
      <c r="E19" s="15"/>
      <c r="F19" s="17"/>
      <c r="G19" s="30"/>
      <c r="H19" s="16"/>
      <c r="I19" s="1"/>
    </row>
    <row r="20" spans="1:9" ht="12.75">
      <c r="A20" s="20" t="s">
        <v>28</v>
      </c>
      <c r="B20" s="20"/>
      <c r="C20" s="20"/>
      <c r="D20" s="20"/>
      <c r="E20" s="20"/>
      <c r="F20" s="22">
        <f aca="true" t="shared" si="2" ref="F20:F36">_xlfn.IFERROR(IF(AND(D20=0,E20=0),0,E20/D20),"")</f>
        <v>0</v>
      </c>
      <c r="G20" s="28"/>
      <c r="H20" s="22">
        <f aca="true" t="shared" si="3" ref="H20:H36">_xlfn.IFERROR(IF((G20+E20)=0,0,(G20+E20)/D20),"")</f>
        <v>0</v>
      </c>
      <c r="I20" s="1"/>
    </row>
    <row r="21" spans="1:9" ht="12.75">
      <c r="A21" s="20" t="s">
        <v>29</v>
      </c>
      <c r="B21" s="20"/>
      <c r="C21" s="12"/>
      <c r="D21" s="12"/>
      <c r="E21" s="12"/>
      <c r="F21" s="22">
        <f t="shared" si="2"/>
        <v>0</v>
      </c>
      <c r="G21" s="28"/>
      <c r="H21" s="22">
        <f t="shared" si="3"/>
        <v>0</v>
      </c>
      <c r="I21" s="1"/>
    </row>
    <row r="22" spans="1:9" ht="12.75">
      <c r="A22" s="20" t="s">
        <v>30</v>
      </c>
      <c r="B22" s="20"/>
      <c r="C22" s="18"/>
      <c r="D22" s="12"/>
      <c r="E22" s="12"/>
      <c r="F22" s="22">
        <f t="shared" si="2"/>
        <v>0</v>
      </c>
      <c r="G22" s="28"/>
      <c r="H22" s="22">
        <f t="shared" si="3"/>
        <v>0</v>
      </c>
      <c r="I22" s="1"/>
    </row>
    <row r="23" spans="1:9" ht="12.75">
      <c r="A23" s="20" t="s">
        <v>31</v>
      </c>
      <c r="B23" s="20"/>
      <c r="C23" s="12"/>
      <c r="D23" s="12"/>
      <c r="E23" s="12"/>
      <c r="F23" s="22">
        <f t="shared" si="2"/>
        <v>0</v>
      </c>
      <c r="G23" s="28"/>
      <c r="H23" s="22">
        <f t="shared" si="3"/>
        <v>0</v>
      </c>
      <c r="I23" s="1"/>
    </row>
    <row r="24" spans="1:9" ht="25.5">
      <c r="A24" s="20" t="s">
        <v>32</v>
      </c>
      <c r="B24" s="20"/>
      <c r="C24" s="12"/>
      <c r="D24" s="12"/>
      <c r="E24" s="12"/>
      <c r="F24" s="22">
        <f t="shared" si="2"/>
        <v>0</v>
      </c>
      <c r="G24" s="28"/>
      <c r="H24" s="22">
        <f t="shared" si="3"/>
        <v>0</v>
      </c>
      <c r="I24" s="1"/>
    </row>
    <row r="25" spans="1:9" ht="12.75">
      <c r="A25" s="20" t="s">
        <v>33</v>
      </c>
      <c r="B25" s="20"/>
      <c r="C25" s="12"/>
      <c r="D25" s="12"/>
      <c r="E25" s="12"/>
      <c r="F25" s="22">
        <f t="shared" si="2"/>
        <v>0</v>
      </c>
      <c r="G25" s="28"/>
      <c r="H25" s="22">
        <f t="shared" si="3"/>
        <v>0</v>
      </c>
      <c r="I25" s="1"/>
    </row>
    <row r="26" spans="1:9" ht="12.75">
      <c r="A26" s="20" t="s">
        <v>35</v>
      </c>
      <c r="B26" s="20"/>
      <c r="C26" s="12"/>
      <c r="D26" s="12"/>
      <c r="E26" s="12"/>
      <c r="F26" s="22">
        <f t="shared" si="2"/>
        <v>0</v>
      </c>
      <c r="G26" s="28"/>
      <c r="H26" s="22">
        <f t="shared" si="3"/>
        <v>0</v>
      </c>
      <c r="I26" s="1"/>
    </row>
    <row r="27" spans="1:9" ht="12.75">
      <c r="A27" s="20" t="s">
        <v>36</v>
      </c>
      <c r="B27" s="20"/>
      <c r="C27" s="12"/>
      <c r="D27" s="12"/>
      <c r="E27" s="12"/>
      <c r="F27" s="22">
        <f t="shared" si="2"/>
        <v>0</v>
      </c>
      <c r="G27" s="28"/>
      <c r="H27" s="22">
        <f t="shared" si="3"/>
        <v>0</v>
      </c>
      <c r="I27" s="1"/>
    </row>
    <row r="28" spans="1:9" ht="12.75">
      <c r="A28" s="20" t="s">
        <v>37</v>
      </c>
      <c r="B28" s="20"/>
      <c r="C28" s="12"/>
      <c r="D28" s="12"/>
      <c r="E28" s="12"/>
      <c r="F28" s="22">
        <f t="shared" si="2"/>
        <v>0</v>
      </c>
      <c r="G28" s="28"/>
      <c r="H28" s="22">
        <f t="shared" si="3"/>
        <v>0</v>
      </c>
      <c r="I28" s="1"/>
    </row>
    <row r="29" spans="1:9" ht="12.75">
      <c r="A29" s="20" t="s">
        <v>38</v>
      </c>
      <c r="B29" s="20"/>
      <c r="C29" s="12"/>
      <c r="D29" s="12"/>
      <c r="E29" s="12"/>
      <c r="F29" s="22">
        <f t="shared" si="2"/>
        <v>0</v>
      </c>
      <c r="G29" s="28"/>
      <c r="H29" s="22">
        <f t="shared" si="3"/>
        <v>0</v>
      </c>
      <c r="I29" s="1"/>
    </row>
    <row r="30" spans="1:9" ht="25.5">
      <c r="A30" s="20" t="s">
        <v>39</v>
      </c>
      <c r="B30" s="20"/>
      <c r="C30" s="12"/>
      <c r="D30" s="12"/>
      <c r="E30" s="12"/>
      <c r="F30" s="22">
        <f t="shared" si="2"/>
        <v>0</v>
      </c>
      <c r="G30" s="28"/>
      <c r="H30" s="22">
        <f t="shared" si="3"/>
        <v>0</v>
      </c>
      <c r="I30" s="1"/>
    </row>
    <row r="31" spans="1:9" ht="12.75">
      <c r="A31" s="50" t="s">
        <v>40</v>
      </c>
      <c r="B31" s="50"/>
      <c r="C31" s="12"/>
      <c r="D31" s="12"/>
      <c r="E31" s="12"/>
      <c r="F31" s="22">
        <f t="shared" si="2"/>
        <v>0</v>
      </c>
      <c r="G31" s="28"/>
      <c r="H31" s="22">
        <f t="shared" si="3"/>
        <v>0</v>
      </c>
      <c r="I31" s="1"/>
    </row>
    <row r="32" spans="1:9" ht="12.75">
      <c r="A32" s="20" t="s">
        <v>41</v>
      </c>
      <c r="B32" s="20"/>
      <c r="C32" s="12"/>
      <c r="D32" s="12"/>
      <c r="E32" s="12"/>
      <c r="F32" s="22">
        <f t="shared" si="2"/>
        <v>0</v>
      </c>
      <c r="G32" s="28"/>
      <c r="H32" s="22">
        <f t="shared" si="3"/>
        <v>0</v>
      </c>
      <c r="I32" s="1"/>
    </row>
    <row r="33" spans="1:9" ht="12.75">
      <c r="A33" s="20" t="s">
        <v>42</v>
      </c>
      <c r="B33" s="20"/>
      <c r="C33" s="12"/>
      <c r="D33" s="12"/>
      <c r="E33" s="12"/>
      <c r="F33" s="22">
        <f t="shared" si="2"/>
        <v>0</v>
      </c>
      <c r="G33" s="28"/>
      <c r="H33" s="22">
        <f t="shared" si="3"/>
        <v>0</v>
      </c>
      <c r="I33" s="1"/>
    </row>
    <row r="34" spans="1:9" ht="12.75">
      <c r="A34" s="125" t="s">
        <v>783</v>
      </c>
      <c r="B34" s="125"/>
      <c r="C34" s="126">
        <f>+'שווי מתנדבים'!G58</f>
        <v>0</v>
      </c>
      <c r="D34" s="126">
        <f>+'שווי מתנדבים'!G58</f>
        <v>0</v>
      </c>
      <c r="E34" s="126">
        <f>+'שווי מתנדבים'!O58</f>
        <v>0</v>
      </c>
      <c r="F34" s="127">
        <f t="shared" si="2"/>
        <v>0</v>
      </c>
      <c r="G34" s="128"/>
      <c r="H34" s="127">
        <f t="shared" si="3"/>
        <v>0</v>
      </c>
      <c r="I34" s="1"/>
    </row>
    <row r="35" spans="1:9" ht="12.75">
      <c r="A35" s="20" t="s">
        <v>818</v>
      </c>
      <c r="B35" s="20"/>
      <c r="C35" s="12"/>
      <c r="D35" s="12"/>
      <c r="E35" s="12"/>
      <c r="F35" s="22">
        <f t="shared" si="2"/>
        <v>0</v>
      </c>
      <c r="G35" s="28"/>
      <c r="H35" s="22">
        <f t="shared" si="3"/>
        <v>0</v>
      </c>
      <c r="I35" s="1"/>
    </row>
    <row r="36" spans="1:9" ht="12.75">
      <c r="A36" s="20"/>
      <c r="B36" s="20"/>
      <c r="C36" s="12"/>
      <c r="D36" s="12"/>
      <c r="E36" s="12"/>
      <c r="F36" s="22">
        <f t="shared" si="2"/>
        <v>0</v>
      </c>
      <c r="G36" s="28"/>
      <c r="H36" s="22">
        <f t="shared" si="3"/>
        <v>0</v>
      </c>
      <c r="I36" s="1"/>
    </row>
    <row r="37" spans="1:9" ht="12.75">
      <c r="A37" s="20"/>
      <c r="B37" s="20"/>
      <c r="C37" s="12"/>
      <c r="D37" s="12"/>
      <c r="E37" s="12"/>
      <c r="F37" s="22">
        <f>_xlfn.IFERROR(IF(AND(D37=0,E37=0),0,E37/D37),"")</f>
        <v>0</v>
      </c>
      <c r="G37" s="28"/>
      <c r="H37" s="22">
        <f>_xlfn.IFERROR(IF((G37+E37)=0,0,(G37+E37)/D37),"")</f>
        <v>0</v>
      </c>
      <c r="I37" s="1"/>
    </row>
    <row r="38" spans="1:9" s="13" customFormat="1" ht="18.75" customHeight="1">
      <c r="A38" s="42" t="s">
        <v>7</v>
      </c>
      <c r="B38" s="43">
        <f>SUM(B20:B37)</f>
        <v>0</v>
      </c>
      <c r="C38" s="43">
        <f>SUM(C20:C37)</f>
        <v>0</v>
      </c>
      <c r="D38" s="43">
        <f>SUM(D20:D37)</f>
        <v>0</v>
      </c>
      <c r="E38" s="43">
        <f>SUM(E20:E37)</f>
        <v>0</v>
      </c>
      <c r="F38" s="47">
        <f>_xlfn.IFERROR(IF(AND(D38=0,E38=0),0,E38/D38),"")</f>
        <v>0</v>
      </c>
      <c r="G38" s="43">
        <f>SUM(G20:G37)</f>
        <v>0</v>
      </c>
      <c r="H38" s="47">
        <f>_xlfn.IFERROR(IF((G38+E38)=0,0,(G38+E38)/D38),"")</f>
        <v>0</v>
      </c>
      <c r="I38" s="43">
        <f>SUM(I20:I37)</f>
        <v>0</v>
      </c>
    </row>
    <row r="39" spans="1:9" ht="20.25">
      <c r="A39" s="34" t="s">
        <v>5</v>
      </c>
      <c r="B39" s="34"/>
      <c r="C39" s="9"/>
      <c r="D39" s="9"/>
      <c r="E39" s="9"/>
      <c r="F39" s="3"/>
      <c r="G39" s="31"/>
      <c r="H39" s="22"/>
      <c r="I39" s="1"/>
    </row>
    <row r="40" spans="1:9" ht="18.75" customHeight="1">
      <c r="A40" s="51" t="s">
        <v>9</v>
      </c>
      <c r="B40" s="51"/>
      <c r="C40" s="18"/>
      <c r="D40" s="39"/>
      <c r="E40" s="18"/>
      <c r="F40" s="22"/>
      <c r="G40" s="18"/>
      <c r="H40" s="22"/>
      <c r="I40" s="1"/>
    </row>
    <row r="41" spans="1:9" ht="12.75">
      <c r="A41" s="20" t="s">
        <v>43</v>
      </c>
      <c r="B41" s="20"/>
      <c r="C41" s="20"/>
      <c r="D41" s="20"/>
      <c r="E41" s="20"/>
      <c r="F41" s="22">
        <f aca="true" t="shared" si="4" ref="F41:F48">_xlfn.IFERROR(IF(AND(D41=0,E41=0),0,E41/D41),"")</f>
        <v>0</v>
      </c>
      <c r="G41" s="28"/>
      <c r="H41" s="22">
        <f aca="true" t="shared" si="5" ref="H41:H48">_xlfn.IFERROR(IF((G41+E41)=0,0,(G41+E41)/D41),"")</f>
        <v>0</v>
      </c>
      <c r="I41" s="1"/>
    </row>
    <row r="42" spans="1:9" ht="12.75">
      <c r="A42" s="20" t="s">
        <v>44</v>
      </c>
      <c r="B42" s="20"/>
      <c r="C42" s="18"/>
      <c r="D42" s="39"/>
      <c r="E42" s="18"/>
      <c r="F42" s="22">
        <f t="shared" si="4"/>
        <v>0</v>
      </c>
      <c r="G42" s="28"/>
      <c r="H42" s="22">
        <f t="shared" si="5"/>
        <v>0</v>
      </c>
      <c r="I42" s="1"/>
    </row>
    <row r="43" spans="1:9" ht="12.75">
      <c r="A43" s="20" t="s">
        <v>45</v>
      </c>
      <c r="B43" s="20"/>
      <c r="C43" s="18"/>
      <c r="D43" s="39"/>
      <c r="E43" s="18"/>
      <c r="F43" s="22">
        <f t="shared" si="4"/>
        <v>0</v>
      </c>
      <c r="G43" s="28"/>
      <c r="H43" s="22">
        <f t="shared" si="5"/>
        <v>0</v>
      </c>
      <c r="I43" s="1"/>
    </row>
    <row r="44" spans="1:9" ht="12.75">
      <c r="A44" s="20" t="s">
        <v>46</v>
      </c>
      <c r="B44" s="20"/>
      <c r="C44" s="18"/>
      <c r="D44" s="39"/>
      <c r="E44" s="18"/>
      <c r="F44" s="22">
        <f t="shared" si="4"/>
        <v>0</v>
      </c>
      <c r="G44" s="28"/>
      <c r="H44" s="22">
        <f t="shared" si="5"/>
        <v>0</v>
      </c>
      <c r="I44" s="1"/>
    </row>
    <row r="45" spans="1:9" ht="12.75">
      <c r="A45" s="20" t="s">
        <v>47</v>
      </c>
      <c r="B45" s="20"/>
      <c r="C45" s="18"/>
      <c r="D45" s="39"/>
      <c r="E45" s="18"/>
      <c r="F45" s="22">
        <f t="shared" si="4"/>
        <v>0</v>
      </c>
      <c r="G45" s="28"/>
      <c r="H45" s="22">
        <f t="shared" si="5"/>
        <v>0</v>
      </c>
      <c r="I45" s="1"/>
    </row>
    <row r="46" spans="1:9" ht="12.75">
      <c r="A46" s="125" t="s">
        <v>783</v>
      </c>
      <c r="B46" s="125"/>
      <c r="C46" s="126">
        <f>+C34+C16</f>
        <v>0</v>
      </c>
      <c r="D46" s="126">
        <f>+D34+D16</f>
        <v>0</v>
      </c>
      <c r="E46" s="126">
        <f>E16+E34</f>
        <v>0</v>
      </c>
      <c r="F46" s="127">
        <f t="shared" si="4"/>
        <v>0</v>
      </c>
      <c r="G46" s="128"/>
      <c r="H46" s="127">
        <f t="shared" si="5"/>
        <v>0</v>
      </c>
      <c r="I46" s="1"/>
    </row>
    <row r="47" spans="1:9" ht="12.75">
      <c r="A47" s="20"/>
      <c r="B47" s="20"/>
      <c r="C47" s="18"/>
      <c r="D47" s="39"/>
      <c r="E47" s="18"/>
      <c r="F47" s="22">
        <f t="shared" si="4"/>
        <v>0</v>
      </c>
      <c r="G47" s="28"/>
      <c r="H47" s="22">
        <f t="shared" si="5"/>
        <v>0</v>
      </c>
      <c r="I47" s="1"/>
    </row>
    <row r="48" spans="1:9" ht="12.75">
      <c r="A48" s="20"/>
      <c r="B48" s="20"/>
      <c r="C48" s="18"/>
      <c r="D48" s="39"/>
      <c r="E48" s="18"/>
      <c r="F48" s="22">
        <f t="shared" si="4"/>
        <v>0</v>
      </c>
      <c r="G48" s="28"/>
      <c r="H48" s="22">
        <f t="shared" si="5"/>
        <v>0</v>
      </c>
      <c r="I48" s="1"/>
    </row>
    <row r="49" spans="1:9" ht="12.75">
      <c r="A49" s="20"/>
      <c r="B49" s="20"/>
      <c r="C49" s="18"/>
      <c r="D49" s="39"/>
      <c r="E49" s="18"/>
      <c r="F49" s="22">
        <f>_xlfn.IFERROR(IF(AND(D49=0,E49=0),0,E49/D49),"")</f>
        <v>0</v>
      </c>
      <c r="G49" s="28"/>
      <c r="H49" s="22">
        <f>_xlfn.IFERROR(IF((G49+E49)=0,0,(G49+E49)/D49),"")</f>
        <v>0</v>
      </c>
      <c r="I49" s="1"/>
    </row>
    <row r="50" spans="1:9" ht="31.5">
      <c r="A50" s="42" t="s">
        <v>10</v>
      </c>
      <c r="B50" s="43">
        <f>SUM(B40:B49)</f>
        <v>0</v>
      </c>
      <c r="C50" s="43">
        <f>SUM(C40:C49)</f>
        <v>0</v>
      </c>
      <c r="D50" s="43">
        <f>SUM(D40:D49)</f>
        <v>0</v>
      </c>
      <c r="E50" s="43">
        <f>SUM(E40:E49)</f>
        <v>0</v>
      </c>
      <c r="F50" s="47">
        <f>_xlfn.IFERROR(IF(AND(D50=0,E50=0),0,E50/D50),"")</f>
        <v>0</v>
      </c>
      <c r="G50" s="43">
        <f>SUM(G40:G49)</f>
        <v>0</v>
      </c>
      <c r="H50" s="47">
        <f>_xlfn.IFERROR(IF((G50+E50)=0,0,(G50+E50)/D50),"")</f>
        <v>0</v>
      </c>
      <c r="I50" s="43">
        <f>SUM(I40:I49)</f>
        <v>0</v>
      </c>
    </row>
    <row r="51" spans="1:9" s="23" customFormat="1" ht="15.75">
      <c r="A51" s="37" t="s">
        <v>11</v>
      </c>
      <c r="B51" s="116">
        <f>_xlfn.IFERROR(IF(B50=0,0,B50/B61),"")</f>
        <v>0</v>
      </c>
      <c r="C51" s="116">
        <f>_xlfn.IFERROR(IF(C50=0,0,C50/C61),"")</f>
        <v>0</v>
      </c>
      <c r="D51" s="116">
        <f>_xlfn.IFERROR(IF(D50=0,0,D50/D61),"")</f>
        <v>0</v>
      </c>
      <c r="E51" s="116">
        <f>_xlfn.IFERROR(IF(E50=0,0,E50/D61),"")</f>
        <v>0</v>
      </c>
      <c r="F51" s="38"/>
      <c r="G51" s="116">
        <f>_xlfn.IFERROR(IF(G50=0,0,G50/G61),"")</f>
        <v>0</v>
      </c>
      <c r="H51" s="38"/>
      <c r="I51" s="38">
        <f>IF(I50=0,0,I50/I38)</f>
        <v>0</v>
      </c>
    </row>
    <row r="52" spans="1:9" ht="12.75">
      <c r="A52" s="20"/>
      <c r="B52" s="20"/>
      <c r="C52" s="18"/>
      <c r="D52" s="39"/>
      <c r="E52" s="18"/>
      <c r="F52" s="22"/>
      <c r="G52" s="29"/>
      <c r="H52" s="22"/>
      <c r="I52" s="1"/>
    </row>
    <row r="53" spans="1:9" ht="15.75">
      <c r="A53" s="51" t="s">
        <v>3</v>
      </c>
      <c r="B53" s="119"/>
      <c r="C53" s="25"/>
      <c r="D53" s="26"/>
      <c r="E53" s="19"/>
      <c r="F53" s="19"/>
      <c r="G53" s="32"/>
      <c r="H53" s="22"/>
      <c r="I53" s="1"/>
    </row>
    <row r="54" spans="1:9" s="14" customFormat="1" ht="18.75">
      <c r="A54" s="20" t="s">
        <v>780</v>
      </c>
      <c r="B54" s="123">
        <f>INDEX(שולם_בפועל_ב_19,גיליון2!A5,0)</f>
        <v>214499.25</v>
      </c>
      <c r="C54" s="18"/>
      <c r="D54" s="123">
        <f>INDEX(תמיכה_2020_לפי_המודל,גיליון2!A5,0)</f>
        <v>196164</v>
      </c>
      <c r="E54" s="123">
        <f>INDEX(שולמה_מקדמה_עד_1.7.20,גיליון2!A5,0)</f>
        <v>107250</v>
      </c>
      <c r="F54" s="22">
        <f>_xlfn.IFERROR(IF(AND(D54=0,E54=0),0,IF(E54/B54=0.7,0.7,E54/D54)),"")</f>
        <v>0.5467364042331926</v>
      </c>
      <c r="G54" s="123">
        <f>D54-E54</f>
        <v>88914</v>
      </c>
      <c r="H54" s="22">
        <f>_xlfn.IFERROR(IF((G54+E54)=0,0,(G54+E54)/D54),"")</f>
        <v>1</v>
      </c>
      <c r="I54" s="28"/>
    </row>
    <row r="55" spans="1:9" s="14" customFormat="1" ht="12.75">
      <c r="A55" s="20" t="s">
        <v>781</v>
      </c>
      <c r="B55" s="20"/>
      <c r="C55" s="18"/>
      <c r="D55" s="40"/>
      <c r="E55" s="29"/>
      <c r="F55" s="22">
        <f>_xlfn.IFERROR(IF(AND(D55=0,E55=0),0,E55/D55),"")</f>
        <v>0</v>
      </c>
      <c r="G55" s="29"/>
      <c r="H55" s="22">
        <f>_xlfn.IFERROR(IF((G55+E55)=0,0,(G55+E55)/D55),"")</f>
        <v>0</v>
      </c>
      <c r="I55" s="28"/>
    </row>
    <row r="56" spans="1:9" s="14" customFormat="1" ht="12.75">
      <c r="A56" s="27" t="s">
        <v>782</v>
      </c>
      <c r="B56" s="20"/>
      <c r="C56" s="18"/>
      <c r="D56" s="40"/>
      <c r="E56" s="29"/>
      <c r="F56" s="22">
        <f>_xlfn.IFERROR(IF(AND(D56=0,E56=0),0,E56/D56),"")</f>
        <v>0</v>
      </c>
      <c r="G56" s="29"/>
      <c r="H56" s="22">
        <f>_xlfn.IFERROR(IF((G56+E56)=0,0,(G56+E56)/D56),"")</f>
        <v>0</v>
      </c>
      <c r="I56" s="28"/>
    </row>
    <row r="57" spans="1:9" s="14" customFormat="1" ht="12.75">
      <c r="A57" s="14" t="s">
        <v>808</v>
      </c>
      <c r="B57" s="20"/>
      <c r="C57" s="18"/>
      <c r="D57" s="40"/>
      <c r="E57" s="29"/>
      <c r="F57" s="22">
        <f>_xlfn.IFERROR(IF(AND(D57=0,E57=0),0,E57/D57),"")</f>
        <v>0</v>
      </c>
      <c r="G57" s="29"/>
      <c r="H57" s="22">
        <f>_xlfn.IFERROR(IF((G57+E57)=0,0,(G57+E57)/D57),"")</f>
        <v>0</v>
      </c>
      <c r="I57" s="28"/>
    </row>
    <row r="58" spans="1:9" ht="28.5" customHeight="1">
      <c r="A58" s="42" t="s">
        <v>4</v>
      </c>
      <c r="B58" s="43">
        <f>SUM(B54:B57)</f>
        <v>214499.25</v>
      </c>
      <c r="C58" s="43">
        <f>SUM(C54:C57)</f>
        <v>0</v>
      </c>
      <c r="D58" s="43">
        <f>SUM(D54:D57)</f>
        <v>196164</v>
      </c>
      <c r="E58" s="43">
        <f>SUM(E54:E57)</f>
        <v>107250</v>
      </c>
      <c r="F58" s="47">
        <f>_xlfn.IFERROR(IF(AND(D58=0,E58=0),0,E58/D58),"")</f>
        <v>0.5467364042331926</v>
      </c>
      <c r="G58" s="43">
        <f>SUM(G54:G57)</f>
        <v>88914</v>
      </c>
      <c r="H58" s="47">
        <f>_xlfn.IFERROR(IF((G58+E58)=0,0,(G58+E58)/D58),"")</f>
        <v>1</v>
      </c>
      <c r="I58" s="43">
        <f>SUM(I54:I57)</f>
        <v>0</v>
      </c>
    </row>
    <row r="59" spans="1:9" ht="9" customHeight="1">
      <c r="A59" s="10"/>
      <c r="B59" s="10"/>
      <c r="C59" s="11"/>
      <c r="D59" s="11"/>
      <c r="E59" s="11"/>
      <c r="F59" s="22"/>
      <c r="G59" s="11"/>
      <c r="H59" s="22"/>
      <c r="I59" s="11"/>
    </row>
    <row r="60" spans="1:9" s="13" customFormat="1" ht="20.25">
      <c r="A60" s="33" t="s">
        <v>1</v>
      </c>
      <c r="B60" s="43">
        <f>B58+B50</f>
        <v>214499.25</v>
      </c>
      <c r="C60" s="117">
        <f>C58+C50</f>
        <v>0</v>
      </c>
      <c r="D60" s="43">
        <f>D58+D50</f>
        <v>196164</v>
      </c>
      <c r="E60" s="43">
        <f>E58+E50</f>
        <v>107250</v>
      </c>
      <c r="F60" s="47">
        <f>IF(AND(D60=0,E60=0),0,E60/D60)</f>
        <v>0.5467364042331926</v>
      </c>
      <c r="G60" s="43">
        <f>G58+G50</f>
        <v>88914</v>
      </c>
      <c r="H60" s="47">
        <f>IF((G60+E60)=0,0,(G60+E60)/D60)</f>
        <v>1</v>
      </c>
      <c r="I60" s="43">
        <f>I58+I50</f>
        <v>0</v>
      </c>
    </row>
    <row r="61" spans="1:9" ht="20.25">
      <c r="A61" s="162" t="s">
        <v>13</v>
      </c>
      <c r="B61" s="117">
        <f>B38+B18</f>
        <v>0</v>
      </c>
      <c r="C61" s="117">
        <f>C38+C18</f>
        <v>0</v>
      </c>
      <c r="D61" s="117">
        <f>D38+D18</f>
        <v>0</v>
      </c>
      <c r="E61" s="43">
        <f>E38+E18</f>
        <v>0</v>
      </c>
      <c r="F61" s="47">
        <f>IF(AND(D61=0,E61=0),0,E61/D61)</f>
        <v>0</v>
      </c>
      <c r="G61" s="43">
        <f>G38+G18</f>
        <v>0</v>
      </c>
      <c r="H61" s="47">
        <f>IF((G61+E61)=0,0,(G61+E61)/D61)</f>
        <v>0</v>
      </c>
      <c r="I61" s="43">
        <f>I38+I18</f>
        <v>0</v>
      </c>
    </row>
    <row r="62" ht="13.5" thickBot="1">
      <c r="D62" s="24"/>
    </row>
    <row r="63" spans="1:8" ht="30.75" thickBot="1">
      <c r="A63" s="169" t="s">
        <v>810</v>
      </c>
      <c r="B63" s="168">
        <f>_xlfn.IFERROR(B18/B60,"")</f>
        <v>0</v>
      </c>
      <c r="E63" s="147" t="s">
        <v>801</v>
      </c>
      <c r="F63" s="135">
        <f>_xlfn.IFERROR(D18/D60,"")</f>
        <v>0</v>
      </c>
      <c r="G63" s="136" t="s">
        <v>802</v>
      </c>
      <c r="H63" s="135">
        <f>_xlfn.IFERROR((E18+G18)/(E60+G60),"")</f>
        <v>0</v>
      </c>
    </row>
    <row r="64" spans="4:5" ht="20.25" customHeight="1">
      <c r="D64" s="120" t="s">
        <v>809</v>
      </c>
      <c r="E64" s="122">
        <f>IF(D61=0,0,IF(AND(D60=D61,B51&gt;=10%,D51&gt;=10%,E51&gt;=5%,(E61-E34-E16)/E54&gt;=D80,B61/B54&gt;=B80),"תקין","לא תקין"))</f>
        <v>0</v>
      </c>
    </row>
    <row r="65" spans="2:5" ht="18">
      <c r="B65" s="167"/>
      <c r="D65" s="130" t="s">
        <v>807</v>
      </c>
      <c r="E65" s="122">
        <f>_xlfn.IFERROR(IF(OR(B34=0,D34=0),0,IF(OR(D61-D16-D34&gt;=D54,B61-B16-B34&gt;=B54),"תקין","לא תקין")),"")</f>
        <v>0</v>
      </c>
    </row>
    <row r="66" spans="2:5" ht="18">
      <c r="B66" s="167"/>
      <c r="D66" s="130"/>
      <c r="E66" s="122"/>
    </row>
    <row r="67" spans="1:3" ht="18.75">
      <c r="A67" s="171" t="s">
        <v>822</v>
      </c>
      <c r="C67" s="124"/>
    </row>
    <row r="68" ht="18.75">
      <c r="C68" s="124"/>
    </row>
    <row r="69" spans="1:7" ht="16.5" customHeight="1" thickBot="1">
      <c r="A69" s="129" t="s">
        <v>784</v>
      </c>
      <c r="B69" s="191"/>
      <c r="C69" s="191"/>
      <c r="D69" s="163"/>
      <c r="E69" s="130" t="s">
        <v>786</v>
      </c>
      <c r="F69" s="193"/>
      <c r="G69" s="193"/>
    </row>
    <row r="70" spans="1:7" ht="39.75" customHeight="1" thickBot="1">
      <c r="A70" s="129" t="s">
        <v>785</v>
      </c>
      <c r="B70" s="192"/>
      <c r="C70" s="192"/>
      <c r="D70" s="164"/>
      <c r="E70" s="130" t="s">
        <v>786</v>
      </c>
      <c r="F70" s="193"/>
      <c r="G70" s="193"/>
    </row>
    <row r="74" ht="12.75">
      <c r="A74" s="129"/>
    </row>
    <row r="75" spans="1:5" ht="12.75">
      <c r="A75" s="145" t="s">
        <v>806</v>
      </c>
      <c r="B75" s="144" t="s">
        <v>803</v>
      </c>
      <c r="C75" s="132" t="s">
        <v>804</v>
      </c>
      <c r="D75" s="132" t="s">
        <v>805</v>
      </c>
      <c r="E75" s="132" t="s">
        <v>814</v>
      </c>
    </row>
    <row r="76" spans="1:5" ht="12.75">
      <c r="A76" s="140" t="s">
        <v>799</v>
      </c>
      <c r="B76" s="142"/>
      <c r="C76" s="1">
        <f>IF(OR(C60=0,C61=0),0,IF(C60=C61,"מאוזן","לא מאוזן"))</f>
        <v>0</v>
      </c>
      <c r="D76" s="1">
        <f>IF(OR(D60=0,D61=0),0,IF(D60=D61,"מאוזן","לא מאוזן"))</f>
        <v>0</v>
      </c>
      <c r="E76" s="1"/>
    </row>
    <row r="77" spans="1:5" ht="12.75">
      <c r="A77" s="141" t="s">
        <v>817</v>
      </c>
      <c r="B77" s="1" t="str">
        <f>IF(B51&gt;=10%,"תקין","לא תקין")</f>
        <v>לא תקין</v>
      </c>
      <c r="C77" s="1" t="str">
        <f>IF(C51&gt;=10%,"תקין","לא תקין")</f>
        <v>לא תקין</v>
      </c>
      <c r="D77" s="1" t="str">
        <f>IF(D51&gt;=10%,"תקין","לא תקין")</f>
        <v>לא תקין</v>
      </c>
      <c r="E77" s="1">
        <f>_xlfn.IFERROR(IF(E50/E61&gt;=5%,"תקין","לא תקין"),"")</f>
      </c>
    </row>
    <row r="78" spans="1:5" ht="12.75">
      <c r="A78" s="141" t="s">
        <v>813</v>
      </c>
      <c r="B78" s="1" t="str">
        <f>IF(B61/B54&gt;=B80,"תקין","לא תקין")</f>
        <v>לא תקין</v>
      </c>
      <c r="C78" s="1"/>
      <c r="D78" s="1"/>
      <c r="E78" s="1" t="str">
        <f>_xlfn.IFERROR(IF(E61/E54&gt;=D80,"תקין","לא תקין"),"")</f>
        <v>לא תקין</v>
      </c>
    </row>
    <row r="79" spans="1:5" ht="12.75">
      <c r="A79" s="141" t="s">
        <v>800</v>
      </c>
      <c r="B79" s="143"/>
      <c r="C79" s="1"/>
      <c r="D79" s="1" t="str">
        <f>IF(D61-D34-D16&gt;=D54,"תקין","לא תקין")</f>
        <v>לא תקין</v>
      </c>
      <c r="E79" s="1" t="str">
        <f>IF(E61-E34-E16&gt;=E54,"תקין","לא תקין")</f>
        <v>לא תקין</v>
      </c>
    </row>
    <row r="80" spans="2:4" ht="12.75">
      <c r="B80" s="146">
        <f>100/90</f>
        <v>1.1111111111111112</v>
      </c>
      <c r="D80" s="118">
        <v>1</v>
      </c>
    </row>
    <row r="81" ht="12.75">
      <c r="D81" s="54">
        <f>E61/E54</f>
        <v>0</v>
      </c>
    </row>
  </sheetData>
  <sheetProtection/>
  <mergeCells count="5">
    <mergeCell ref="B69:C69"/>
    <mergeCell ref="B70:C70"/>
    <mergeCell ref="F69:G69"/>
    <mergeCell ref="F70:G70"/>
    <mergeCell ref="D3:E3"/>
  </mergeCells>
  <conditionalFormatting sqref="F63 H63">
    <cfRule type="cellIs" priority="7" dxfId="0" operator="greaterThan" stopIfTrue="1">
      <formula>0.22</formula>
    </cfRule>
  </conditionalFormatting>
  <conditionalFormatting sqref="B83">
    <cfRule type="containsText" priority="4" dxfId="0" operator="containsText" stopIfTrue="1" text="&quot;&quot;לא מאוזן&quot;&quot;">
      <formula>NOT(ISERROR(SEARCH("""לא מאוזן""",B83)))</formula>
    </cfRule>
  </conditionalFormatting>
  <conditionalFormatting sqref="D76">
    <cfRule type="containsText" priority="3" dxfId="0" operator="containsText" stopIfTrue="1" text="&quot;&quot;לא מאוזן&quot;&quot;">
      <formula>NOT(ISERROR(SEARCH("""לא מאוזן""",D76)))</formula>
    </cfRule>
  </conditionalFormatting>
  <conditionalFormatting sqref="B63">
    <cfRule type="cellIs" priority="1" dxfId="0" operator="greaterThan" stopIfTrue="1">
      <formula>0.22</formula>
    </cfRule>
  </conditionalFormatting>
  <printOptions horizontalCentered="1"/>
  <pageMargins left="0.7480314960629921" right="0.7480314960629921" top="0.7480314960629921" bottom="0.7480314960629921" header="0.5118110236220472" footer="0.5118110236220472"/>
  <pageSetup fitToHeight="1" fitToWidth="1" orientation="portrait" paperSize="9" scale="60" r:id="rId2"/>
  <headerFooter alignWithMargins="0">
    <oddFooter>&amp;C&amp;N  - 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rightToLeft="1" zoomScalePageLayoutView="0" workbookViewId="0" topLeftCell="A1">
      <selection activeCell="O14" sqref="O14"/>
    </sheetView>
  </sheetViews>
  <sheetFormatPr defaultColWidth="9.140625" defaultRowHeight="12.75"/>
  <cols>
    <col min="1" max="1" width="3.57421875" style="0" bestFit="1" customWidth="1"/>
    <col min="2" max="2" width="10.00390625" style="0" bestFit="1" customWidth="1"/>
    <col min="3" max="3" width="11.57421875" style="0" customWidth="1"/>
    <col min="4" max="4" width="11.140625" style="0" customWidth="1"/>
    <col min="5" max="5" width="11.00390625" style="0" bestFit="1" customWidth="1"/>
    <col min="6" max="6" width="10.57421875" style="0" bestFit="1" customWidth="1"/>
    <col min="7" max="7" width="9.421875" style="0" customWidth="1"/>
  </cols>
  <sheetData>
    <row r="1" spans="1:15" ht="18">
      <c r="A1" s="196" t="s">
        <v>795</v>
      </c>
      <c r="B1" s="196"/>
      <c r="C1" s="196"/>
      <c r="D1" s="196"/>
      <c r="E1" s="196"/>
      <c r="F1" s="196"/>
      <c r="G1" s="196"/>
      <c r="I1" s="196" t="s">
        <v>797</v>
      </c>
      <c r="J1" s="196"/>
      <c r="K1" s="196"/>
      <c r="L1" s="196"/>
      <c r="M1" s="196"/>
      <c r="N1" s="196"/>
      <c r="O1" s="196"/>
    </row>
    <row r="2" spans="2:10" ht="15.75">
      <c r="B2" s="131"/>
      <c r="J2" s="131"/>
    </row>
    <row r="3" spans="1:15" ht="12.75">
      <c r="A3" s="132" t="s">
        <v>779</v>
      </c>
      <c r="B3" s="132" t="s">
        <v>787</v>
      </c>
      <c r="C3" s="132" t="s">
        <v>788</v>
      </c>
      <c r="D3" s="132" t="s">
        <v>789</v>
      </c>
      <c r="E3" s="132" t="s">
        <v>790</v>
      </c>
      <c r="F3" s="132" t="s">
        <v>791</v>
      </c>
      <c r="G3" s="132" t="s">
        <v>772</v>
      </c>
      <c r="I3" s="132" t="s">
        <v>779</v>
      </c>
      <c r="J3" s="132" t="s">
        <v>787</v>
      </c>
      <c r="K3" s="132" t="s">
        <v>788</v>
      </c>
      <c r="L3" s="132" t="s">
        <v>789</v>
      </c>
      <c r="M3" s="132" t="s">
        <v>790</v>
      </c>
      <c r="N3" s="132" t="s">
        <v>791</v>
      </c>
      <c r="O3" s="132" t="s">
        <v>772</v>
      </c>
    </row>
    <row r="4" spans="1:15" ht="12.75">
      <c r="A4" s="1">
        <v>1</v>
      </c>
      <c r="B4" s="1"/>
      <c r="C4" s="1"/>
      <c r="D4" s="1"/>
      <c r="E4" s="1"/>
      <c r="F4" s="1"/>
      <c r="G4" s="134">
        <f>D4*E4*F4</f>
        <v>0</v>
      </c>
      <c r="I4" s="1">
        <v>1</v>
      </c>
      <c r="J4" s="1"/>
      <c r="K4" s="1"/>
      <c r="L4" s="1"/>
      <c r="M4" s="1"/>
      <c r="N4" s="1"/>
      <c r="O4" s="134">
        <f aca="true" t="shared" si="0" ref="O4:O13">L4*M4*N4</f>
        <v>0</v>
      </c>
    </row>
    <row r="5" spans="1:15" ht="12.75">
      <c r="A5" s="1">
        <v>2</v>
      </c>
      <c r="B5" s="1"/>
      <c r="C5" s="1"/>
      <c r="D5" s="1"/>
      <c r="E5" s="1"/>
      <c r="F5" s="1"/>
      <c r="G5" s="134">
        <f aca="true" t="shared" si="1" ref="G5:G56">D5*E5*F5</f>
        <v>0</v>
      </c>
      <c r="I5" s="1">
        <v>2</v>
      </c>
      <c r="J5" s="1"/>
      <c r="K5" s="1"/>
      <c r="L5" s="1"/>
      <c r="M5" s="1"/>
      <c r="N5" s="1"/>
      <c r="O5" s="134">
        <f t="shared" si="0"/>
        <v>0</v>
      </c>
    </row>
    <row r="6" spans="1:15" ht="12.75">
      <c r="A6" s="1">
        <v>3</v>
      </c>
      <c r="B6" s="1"/>
      <c r="C6" s="1"/>
      <c r="D6" s="1"/>
      <c r="E6" s="1"/>
      <c r="F6" s="1"/>
      <c r="G6" s="134">
        <f t="shared" si="1"/>
        <v>0</v>
      </c>
      <c r="I6" s="1">
        <v>3</v>
      </c>
      <c r="J6" s="1"/>
      <c r="K6" s="1"/>
      <c r="L6" s="1"/>
      <c r="M6" s="1"/>
      <c r="N6" s="1"/>
      <c r="O6" s="134">
        <f t="shared" si="0"/>
        <v>0</v>
      </c>
    </row>
    <row r="7" spans="1:15" ht="12.75">
      <c r="A7" s="1">
        <v>4</v>
      </c>
      <c r="B7" s="1"/>
      <c r="C7" s="1"/>
      <c r="D7" s="1"/>
      <c r="E7" s="1"/>
      <c r="F7" s="1"/>
      <c r="G7" s="134">
        <f t="shared" si="1"/>
        <v>0</v>
      </c>
      <c r="I7" s="1">
        <v>4</v>
      </c>
      <c r="J7" s="1"/>
      <c r="K7" s="1"/>
      <c r="L7" s="1"/>
      <c r="M7" s="1"/>
      <c r="N7" s="1"/>
      <c r="O7" s="134">
        <f t="shared" si="0"/>
        <v>0</v>
      </c>
    </row>
    <row r="8" spans="1:15" ht="12.75">
      <c r="A8" s="1">
        <v>5</v>
      </c>
      <c r="B8" s="1"/>
      <c r="C8" s="1"/>
      <c r="D8" s="1"/>
      <c r="E8" s="1"/>
      <c r="F8" s="1"/>
      <c r="G8" s="134">
        <f t="shared" si="1"/>
        <v>0</v>
      </c>
      <c r="I8" s="1">
        <v>5</v>
      </c>
      <c r="J8" s="1"/>
      <c r="K8" s="1"/>
      <c r="L8" s="1"/>
      <c r="M8" s="1"/>
      <c r="N8" s="1"/>
      <c r="O8" s="134">
        <f t="shared" si="0"/>
        <v>0</v>
      </c>
    </row>
    <row r="9" spans="1:15" ht="12.75">
      <c r="A9" s="1">
        <v>6</v>
      </c>
      <c r="B9" s="1"/>
      <c r="C9" s="1"/>
      <c r="D9" s="1"/>
      <c r="E9" s="1"/>
      <c r="F9" s="1"/>
      <c r="G9" s="134">
        <f t="shared" si="1"/>
        <v>0</v>
      </c>
      <c r="I9" s="1">
        <v>6</v>
      </c>
      <c r="J9" s="1"/>
      <c r="K9" s="1"/>
      <c r="L9" s="1"/>
      <c r="M9" s="1"/>
      <c r="N9" s="1"/>
      <c r="O9" s="134">
        <f t="shared" si="0"/>
        <v>0</v>
      </c>
    </row>
    <row r="10" spans="1:15" ht="12.75">
      <c r="A10" s="1">
        <v>7</v>
      </c>
      <c r="B10" s="1"/>
      <c r="C10" s="1"/>
      <c r="D10" s="1"/>
      <c r="E10" s="1"/>
      <c r="F10" s="1"/>
      <c r="G10" s="134">
        <f t="shared" si="1"/>
        <v>0</v>
      </c>
      <c r="I10" s="1">
        <v>7</v>
      </c>
      <c r="J10" s="1"/>
      <c r="K10" s="1"/>
      <c r="L10" s="1"/>
      <c r="M10" s="1"/>
      <c r="N10" s="1"/>
      <c r="O10" s="134">
        <f t="shared" si="0"/>
        <v>0</v>
      </c>
    </row>
    <row r="11" spans="1:15" ht="12.75">
      <c r="A11" s="1">
        <v>8</v>
      </c>
      <c r="B11" s="1"/>
      <c r="C11" s="1"/>
      <c r="D11" s="1"/>
      <c r="E11" s="1"/>
      <c r="F11" s="1"/>
      <c r="G11" s="134">
        <f t="shared" si="1"/>
        <v>0</v>
      </c>
      <c r="I11" s="1">
        <v>8</v>
      </c>
      <c r="J11" s="1"/>
      <c r="K11" s="1"/>
      <c r="L11" s="1"/>
      <c r="M11" s="1"/>
      <c r="N11" s="1"/>
      <c r="O11" s="134">
        <f t="shared" si="0"/>
        <v>0</v>
      </c>
    </row>
    <row r="12" spans="1:15" ht="12.75">
      <c r="A12" s="1">
        <v>9</v>
      </c>
      <c r="B12" s="1"/>
      <c r="C12" s="1"/>
      <c r="D12" s="1"/>
      <c r="E12" s="1"/>
      <c r="F12" s="1"/>
      <c r="G12" s="134">
        <f t="shared" si="1"/>
        <v>0</v>
      </c>
      <c r="I12" s="1">
        <v>9</v>
      </c>
      <c r="J12" s="1"/>
      <c r="K12" s="1"/>
      <c r="L12" s="1"/>
      <c r="M12" s="1"/>
      <c r="N12" s="1"/>
      <c r="O12" s="134">
        <f t="shared" si="0"/>
        <v>0</v>
      </c>
    </row>
    <row r="13" spans="1:15" ht="12.75">
      <c r="A13" s="1">
        <v>10</v>
      </c>
      <c r="B13" s="1"/>
      <c r="C13" s="1"/>
      <c r="D13" s="1"/>
      <c r="E13" s="1"/>
      <c r="F13" s="1"/>
      <c r="G13" s="134">
        <f t="shared" si="1"/>
        <v>0</v>
      </c>
      <c r="I13" s="1">
        <v>10</v>
      </c>
      <c r="J13" s="1"/>
      <c r="K13" s="1"/>
      <c r="L13" s="1"/>
      <c r="M13" s="1"/>
      <c r="N13" s="1"/>
      <c r="O13" s="134">
        <f t="shared" si="0"/>
        <v>0</v>
      </c>
    </row>
    <row r="14" spans="1:15" ht="12.75">
      <c r="A14" s="5"/>
      <c r="B14" s="5"/>
      <c r="C14" s="5"/>
      <c r="D14" s="5"/>
      <c r="E14" s="5"/>
      <c r="F14" s="138" t="s">
        <v>772</v>
      </c>
      <c r="G14" s="137">
        <f>SUM(G4:G13)</f>
        <v>0</v>
      </c>
      <c r="I14" s="5"/>
      <c r="J14" s="5"/>
      <c r="K14" s="5"/>
      <c r="L14" s="5"/>
      <c r="M14" s="5"/>
      <c r="N14" s="138" t="s">
        <v>772</v>
      </c>
      <c r="O14" s="137">
        <f>SUM(O4:O13)</f>
        <v>0</v>
      </c>
    </row>
    <row r="15" spans="1:15" ht="18">
      <c r="A15" s="196" t="s">
        <v>796</v>
      </c>
      <c r="B15" s="196"/>
      <c r="C15" s="196"/>
      <c r="D15" s="196"/>
      <c r="E15" s="196"/>
      <c r="F15" s="196"/>
      <c r="G15" s="196"/>
      <c r="I15" s="196" t="s">
        <v>798</v>
      </c>
      <c r="J15" s="196"/>
      <c r="K15" s="196"/>
      <c r="L15" s="196"/>
      <c r="M15" s="196"/>
      <c r="N15" s="196"/>
      <c r="O15" s="196"/>
    </row>
    <row r="16" spans="1:15" ht="12.75">
      <c r="A16" s="5"/>
      <c r="B16" s="5"/>
      <c r="C16" s="5"/>
      <c r="D16" s="5"/>
      <c r="E16" s="5"/>
      <c r="F16" s="5"/>
      <c r="G16" s="137"/>
      <c r="I16" s="5"/>
      <c r="J16" s="5"/>
      <c r="K16" s="5"/>
      <c r="L16" s="5"/>
      <c r="M16" s="5"/>
      <c r="N16" s="5"/>
      <c r="O16" s="137"/>
    </row>
    <row r="17" spans="1:15" ht="12.75">
      <c r="A17" s="1">
        <v>11</v>
      </c>
      <c r="B17" s="1"/>
      <c r="C17" s="1"/>
      <c r="D17" s="1"/>
      <c r="E17" s="1"/>
      <c r="F17" s="1"/>
      <c r="G17" s="134">
        <f t="shared" si="1"/>
        <v>0</v>
      </c>
      <c r="I17" s="1">
        <v>11</v>
      </c>
      <c r="J17" s="1"/>
      <c r="K17" s="1"/>
      <c r="L17" s="1"/>
      <c r="M17" s="1"/>
      <c r="N17" s="1"/>
      <c r="O17" s="134">
        <f aca="true" t="shared" si="2" ref="O17:O56">L17*M17*N17</f>
        <v>0</v>
      </c>
    </row>
    <row r="18" spans="1:15" ht="12.75">
      <c r="A18" s="1">
        <v>12</v>
      </c>
      <c r="B18" s="1"/>
      <c r="C18" s="1"/>
      <c r="D18" s="1"/>
      <c r="E18" s="1"/>
      <c r="F18" s="1"/>
      <c r="G18" s="134">
        <f t="shared" si="1"/>
        <v>0</v>
      </c>
      <c r="I18" s="1">
        <v>12</v>
      </c>
      <c r="J18" s="1"/>
      <c r="K18" s="1"/>
      <c r="L18" s="1"/>
      <c r="M18" s="1"/>
      <c r="N18" s="1"/>
      <c r="O18" s="134">
        <f t="shared" si="2"/>
        <v>0</v>
      </c>
    </row>
    <row r="19" spans="1:15" ht="12.75">
      <c r="A19" s="1">
        <v>13</v>
      </c>
      <c r="B19" s="1"/>
      <c r="C19" s="1"/>
      <c r="D19" s="1"/>
      <c r="E19" s="1"/>
      <c r="F19" s="1"/>
      <c r="G19" s="134">
        <f t="shared" si="1"/>
        <v>0</v>
      </c>
      <c r="I19" s="1">
        <v>13</v>
      </c>
      <c r="J19" s="1"/>
      <c r="K19" s="1"/>
      <c r="L19" s="1"/>
      <c r="M19" s="1"/>
      <c r="N19" s="1"/>
      <c r="O19" s="134">
        <f t="shared" si="2"/>
        <v>0</v>
      </c>
    </row>
    <row r="20" spans="1:15" ht="12.75">
      <c r="A20" s="1">
        <v>14</v>
      </c>
      <c r="B20" s="1"/>
      <c r="C20" s="1"/>
      <c r="D20" s="1"/>
      <c r="E20" s="1"/>
      <c r="F20" s="1"/>
      <c r="G20" s="134">
        <f t="shared" si="1"/>
        <v>0</v>
      </c>
      <c r="I20" s="1">
        <v>14</v>
      </c>
      <c r="J20" s="1"/>
      <c r="K20" s="1"/>
      <c r="L20" s="1"/>
      <c r="M20" s="1"/>
      <c r="N20" s="1"/>
      <c r="O20" s="134">
        <f t="shared" si="2"/>
        <v>0</v>
      </c>
    </row>
    <row r="21" spans="1:15" ht="12.75">
      <c r="A21" s="1">
        <v>15</v>
      </c>
      <c r="B21" s="1"/>
      <c r="C21" s="1"/>
      <c r="D21" s="1"/>
      <c r="E21" s="1"/>
      <c r="F21" s="1"/>
      <c r="G21" s="134">
        <f t="shared" si="1"/>
        <v>0</v>
      </c>
      <c r="I21" s="1">
        <v>15</v>
      </c>
      <c r="J21" s="1"/>
      <c r="K21" s="1"/>
      <c r="L21" s="1"/>
      <c r="M21" s="1"/>
      <c r="N21" s="1"/>
      <c r="O21" s="134">
        <f t="shared" si="2"/>
        <v>0</v>
      </c>
    </row>
    <row r="22" spans="1:15" ht="12.75">
      <c r="A22" s="1">
        <v>16</v>
      </c>
      <c r="B22" s="1"/>
      <c r="C22" s="1"/>
      <c r="D22" s="1"/>
      <c r="E22" s="1"/>
      <c r="F22" s="1"/>
      <c r="G22" s="134">
        <f t="shared" si="1"/>
        <v>0</v>
      </c>
      <c r="I22" s="1">
        <v>16</v>
      </c>
      <c r="J22" s="1"/>
      <c r="K22" s="1"/>
      <c r="L22" s="1"/>
      <c r="M22" s="1"/>
      <c r="N22" s="1"/>
      <c r="O22" s="134">
        <f t="shared" si="2"/>
        <v>0</v>
      </c>
    </row>
    <row r="23" spans="1:15" ht="12.75">
      <c r="A23" s="1">
        <v>17</v>
      </c>
      <c r="B23" s="1"/>
      <c r="C23" s="1"/>
      <c r="D23" s="1"/>
      <c r="E23" s="1"/>
      <c r="F23" s="1"/>
      <c r="G23" s="134">
        <f t="shared" si="1"/>
        <v>0</v>
      </c>
      <c r="I23" s="1">
        <v>17</v>
      </c>
      <c r="J23" s="1"/>
      <c r="K23" s="1"/>
      <c r="L23" s="1"/>
      <c r="M23" s="1"/>
      <c r="N23" s="1"/>
      <c r="O23" s="134">
        <f t="shared" si="2"/>
        <v>0</v>
      </c>
    </row>
    <row r="24" spans="1:15" ht="12.75">
      <c r="A24" s="1">
        <v>18</v>
      </c>
      <c r="B24" s="1"/>
      <c r="C24" s="1"/>
      <c r="D24" s="1"/>
      <c r="E24" s="1"/>
      <c r="F24" s="1"/>
      <c r="G24" s="134">
        <f t="shared" si="1"/>
        <v>0</v>
      </c>
      <c r="I24" s="1">
        <v>18</v>
      </c>
      <c r="J24" s="1"/>
      <c r="K24" s="1"/>
      <c r="L24" s="1"/>
      <c r="M24" s="1"/>
      <c r="N24" s="1"/>
      <c r="O24" s="134">
        <f t="shared" si="2"/>
        <v>0</v>
      </c>
    </row>
    <row r="25" spans="1:15" ht="12.75">
      <c r="A25" s="1">
        <v>19</v>
      </c>
      <c r="B25" s="1"/>
      <c r="C25" s="1"/>
      <c r="D25" s="1"/>
      <c r="E25" s="1"/>
      <c r="F25" s="1"/>
      <c r="G25" s="134">
        <f t="shared" si="1"/>
        <v>0</v>
      </c>
      <c r="I25" s="1">
        <v>19</v>
      </c>
      <c r="J25" s="1"/>
      <c r="K25" s="1"/>
      <c r="L25" s="1"/>
      <c r="M25" s="1"/>
      <c r="N25" s="1"/>
      <c r="O25" s="134">
        <f t="shared" si="2"/>
        <v>0</v>
      </c>
    </row>
    <row r="26" spans="1:15" ht="12.75">
      <c r="A26" s="1">
        <v>20</v>
      </c>
      <c r="B26" s="1"/>
      <c r="C26" s="1"/>
      <c r="D26" s="1"/>
      <c r="E26" s="1"/>
      <c r="F26" s="1"/>
      <c r="G26" s="134">
        <f t="shared" si="1"/>
        <v>0</v>
      </c>
      <c r="I26" s="1">
        <v>20</v>
      </c>
      <c r="J26" s="1"/>
      <c r="K26" s="1"/>
      <c r="L26" s="1"/>
      <c r="M26" s="1"/>
      <c r="N26" s="1"/>
      <c r="O26" s="134">
        <f t="shared" si="2"/>
        <v>0</v>
      </c>
    </row>
    <row r="27" spans="1:15" ht="12.75">
      <c r="A27" s="1">
        <v>21</v>
      </c>
      <c r="B27" s="1"/>
      <c r="C27" s="1"/>
      <c r="D27" s="1"/>
      <c r="E27" s="1"/>
      <c r="F27" s="1"/>
      <c r="G27" s="134">
        <f t="shared" si="1"/>
        <v>0</v>
      </c>
      <c r="I27" s="1">
        <v>21</v>
      </c>
      <c r="J27" s="1"/>
      <c r="K27" s="1"/>
      <c r="L27" s="1"/>
      <c r="M27" s="1"/>
      <c r="N27" s="1"/>
      <c r="O27" s="134">
        <f t="shared" si="2"/>
        <v>0</v>
      </c>
    </row>
    <row r="28" spans="1:15" ht="12.75">
      <c r="A28" s="1">
        <v>22</v>
      </c>
      <c r="B28" s="1"/>
      <c r="C28" s="1"/>
      <c r="D28" s="1"/>
      <c r="E28" s="1"/>
      <c r="F28" s="1"/>
      <c r="G28" s="134">
        <f t="shared" si="1"/>
        <v>0</v>
      </c>
      <c r="I28" s="1">
        <v>22</v>
      </c>
      <c r="J28" s="1"/>
      <c r="K28" s="1"/>
      <c r="L28" s="1"/>
      <c r="M28" s="1"/>
      <c r="N28" s="1"/>
      <c r="O28" s="134">
        <f t="shared" si="2"/>
        <v>0</v>
      </c>
    </row>
    <row r="29" spans="1:15" ht="12.75">
      <c r="A29" s="1">
        <v>23</v>
      </c>
      <c r="B29" s="1"/>
      <c r="C29" s="1"/>
      <c r="D29" s="1"/>
      <c r="E29" s="1"/>
      <c r="F29" s="1"/>
      <c r="G29" s="134">
        <f t="shared" si="1"/>
        <v>0</v>
      </c>
      <c r="I29" s="1">
        <v>23</v>
      </c>
      <c r="J29" s="1"/>
      <c r="K29" s="1"/>
      <c r="L29" s="1"/>
      <c r="M29" s="1"/>
      <c r="N29" s="1"/>
      <c r="O29" s="134">
        <f t="shared" si="2"/>
        <v>0</v>
      </c>
    </row>
    <row r="30" spans="1:15" ht="12.75">
      <c r="A30" s="1">
        <v>24</v>
      </c>
      <c r="B30" s="1"/>
      <c r="C30" s="1"/>
      <c r="D30" s="1"/>
      <c r="E30" s="1"/>
      <c r="F30" s="1"/>
      <c r="G30" s="134">
        <f t="shared" si="1"/>
        <v>0</v>
      </c>
      <c r="I30" s="1">
        <v>24</v>
      </c>
      <c r="J30" s="1"/>
      <c r="K30" s="1"/>
      <c r="L30" s="1"/>
      <c r="M30" s="1"/>
      <c r="N30" s="1"/>
      <c r="O30" s="134">
        <f t="shared" si="2"/>
        <v>0</v>
      </c>
    </row>
    <row r="31" spans="1:15" ht="12.75">
      <c r="A31" s="1">
        <v>25</v>
      </c>
      <c r="B31" s="1"/>
      <c r="C31" s="1"/>
      <c r="D31" s="1"/>
      <c r="E31" s="1"/>
      <c r="F31" s="1"/>
      <c r="G31" s="134">
        <f t="shared" si="1"/>
        <v>0</v>
      </c>
      <c r="I31" s="1">
        <v>25</v>
      </c>
      <c r="J31" s="1"/>
      <c r="K31" s="1"/>
      <c r="L31" s="1"/>
      <c r="M31" s="1"/>
      <c r="N31" s="1"/>
      <c r="O31" s="134">
        <f t="shared" si="2"/>
        <v>0</v>
      </c>
    </row>
    <row r="32" spans="1:15" ht="12.75">
      <c r="A32" s="1">
        <v>26</v>
      </c>
      <c r="B32" s="1"/>
      <c r="C32" s="1"/>
      <c r="D32" s="1"/>
      <c r="E32" s="1"/>
      <c r="F32" s="1"/>
      <c r="G32" s="134">
        <f t="shared" si="1"/>
        <v>0</v>
      </c>
      <c r="I32" s="1">
        <v>26</v>
      </c>
      <c r="J32" s="1"/>
      <c r="K32" s="1"/>
      <c r="L32" s="1"/>
      <c r="M32" s="1"/>
      <c r="N32" s="1"/>
      <c r="O32" s="134">
        <f t="shared" si="2"/>
        <v>0</v>
      </c>
    </row>
    <row r="33" spans="1:15" ht="12.75">
      <c r="A33" s="1">
        <v>27</v>
      </c>
      <c r="B33" s="1"/>
      <c r="C33" s="1"/>
      <c r="D33" s="1"/>
      <c r="E33" s="1"/>
      <c r="F33" s="1"/>
      <c r="G33" s="134">
        <f t="shared" si="1"/>
        <v>0</v>
      </c>
      <c r="I33" s="1">
        <v>27</v>
      </c>
      <c r="J33" s="1"/>
      <c r="K33" s="1"/>
      <c r="L33" s="1"/>
      <c r="M33" s="1"/>
      <c r="N33" s="1"/>
      <c r="O33" s="134">
        <f t="shared" si="2"/>
        <v>0</v>
      </c>
    </row>
    <row r="34" spans="1:15" ht="12.75">
      <c r="A34" s="1">
        <v>28</v>
      </c>
      <c r="B34" s="1"/>
      <c r="C34" s="1"/>
      <c r="D34" s="1"/>
      <c r="E34" s="1"/>
      <c r="F34" s="1"/>
      <c r="G34" s="134">
        <f t="shared" si="1"/>
        <v>0</v>
      </c>
      <c r="I34" s="1">
        <v>28</v>
      </c>
      <c r="J34" s="1"/>
      <c r="K34" s="1"/>
      <c r="L34" s="1"/>
      <c r="M34" s="1"/>
      <c r="N34" s="1"/>
      <c r="O34" s="134">
        <f t="shared" si="2"/>
        <v>0</v>
      </c>
    </row>
    <row r="35" spans="1:15" ht="12.75">
      <c r="A35" s="1">
        <v>29</v>
      </c>
      <c r="B35" s="1"/>
      <c r="C35" s="1"/>
      <c r="D35" s="1"/>
      <c r="E35" s="1"/>
      <c r="F35" s="1"/>
      <c r="G35" s="134">
        <f t="shared" si="1"/>
        <v>0</v>
      </c>
      <c r="I35" s="1">
        <v>29</v>
      </c>
      <c r="J35" s="1"/>
      <c r="K35" s="1"/>
      <c r="L35" s="1"/>
      <c r="M35" s="1"/>
      <c r="N35" s="1"/>
      <c r="O35" s="134">
        <f t="shared" si="2"/>
        <v>0</v>
      </c>
    </row>
    <row r="36" spans="1:15" ht="12.75">
      <c r="A36" s="1">
        <v>30</v>
      </c>
      <c r="B36" s="1"/>
      <c r="C36" s="1"/>
      <c r="D36" s="1"/>
      <c r="E36" s="1"/>
      <c r="F36" s="1"/>
      <c r="G36" s="134">
        <f t="shared" si="1"/>
        <v>0</v>
      </c>
      <c r="I36" s="1">
        <v>30</v>
      </c>
      <c r="J36" s="1"/>
      <c r="K36" s="1"/>
      <c r="L36" s="1"/>
      <c r="M36" s="1"/>
      <c r="N36" s="1"/>
      <c r="O36" s="134">
        <f t="shared" si="2"/>
        <v>0</v>
      </c>
    </row>
    <row r="37" spans="1:15" ht="12.75">
      <c r="A37" s="1">
        <v>31</v>
      </c>
      <c r="B37" s="1"/>
      <c r="C37" s="1"/>
      <c r="D37" s="1"/>
      <c r="E37" s="1"/>
      <c r="F37" s="1"/>
      <c r="G37" s="134">
        <f t="shared" si="1"/>
        <v>0</v>
      </c>
      <c r="I37" s="1">
        <v>31</v>
      </c>
      <c r="J37" s="1"/>
      <c r="K37" s="1"/>
      <c r="L37" s="1"/>
      <c r="M37" s="1"/>
      <c r="N37" s="1"/>
      <c r="O37" s="134">
        <f t="shared" si="2"/>
        <v>0</v>
      </c>
    </row>
    <row r="38" spans="1:15" ht="12.75">
      <c r="A38" s="1">
        <v>32</v>
      </c>
      <c r="B38" s="1"/>
      <c r="C38" s="1"/>
      <c r="D38" s="1"/>
      <c r="E38" s="1"/>
      <c r="F38" s="1"/>
      <c r="G38" s="134">
        <f t="shared" si="1"/>
        <v>0</v>
      </c>
      <c r="I38" s="1">
        <v>32</v>
      </c>
      <c r="J38" s="1"/>
      <c r="K38" s="1"/>
      <c r="L38" s="1"/>
      <c r="M38" s="1"/>
      <c r="N38" s="1"/>
      <c r="O38" s="134">
        <f t="shared" si="2"/>
        <v>0</v>
      </c>
    </row>
    <row r="39" spans="1:15" ht="12.75">
      <c r="A39" s="1">
        <v>33</v>
      </c>
      <c r="B39" s="1"/>
      <c r="C39" s="1"/>
      <c r="D39" s="1"/>
      <c r="E39" s="1"/>
      <c r="F39" s="1"/>
      <c r="G39" s="134">
        <f t="shared" si="1"/>
        <v>0</v>
      </c>
      <c r="I39" s="1">
        <v>33</v>
      </c>
      <c r="J39" s="1"/>
      <c r="K39" s="1"/>
      <c r="L39" s="1"/>
      <c r="M39" s="1"/>
      <c r="N39" s="1"/>
      <c r="O39" s="134">
        <f t="shared" si="2"/>
        <v>0</v>
      </c>
    </row>
    <row r="40" spans="1:15" ht="12.75">
      <c r="A40" s="1">
        <v>34</v>
      </c>
      <c r="B40" s="1"/>
      <c r="C40" s="1"/>
      <c r="D40" s="1"/>
      <c r="E40" s="1"/>
      <c r="F40" s="1"/>
      <c r="G40" s="134">
        <f t="shared" si="1"/>
        <v>0</v>
      </c>
      <c r="I40" s="1">
        <v>34</v>
      </c>
      <c r="J40" s="1"/>
      <c r="K40" s="1"/>
      <c r="L40" s="1"/>
      <c r="M40" s="1"/>
      <c r="N40" s="1"/>
      <c r="O40" s="134">
        <f t="shared" si="2"/>
        <v>0</v>
      </c>
    </row>
    <row r="41" spans="1:15" ht="12.75">
      <c r="A41" s="1">
        <v>35</v>
      </c>
      <c r="B41" s="1"/>
      <c r="C41" s="1"/>
      <c r="D41" s="1"/>
      <c r="E41" s="1"/>
      <c r="F41" s="1"/>
      <c r="G41" s="134">
        <f t="shared" si="1"/>
        <v>0</v>
      </c>
      <c r="I41" s="1">
        <v>35</v>
      </c>
      <c r="J41" s="1"/>
      <c r="K41" s="1"/>
      <c r="L41" s="1"/>
      <c r="M41" s="1"/>
      <c r="N41" s="1"/>
      <c r="O41" s="134">
        <f t="shared" si="2"/>
        <v>0</v>
      </c>
    </row>
    <row r="42" spans="1:15" ht="12.75">
      <c r="A42" s="1">
        <v>36</v>
      </c>
      <c r="B42" s="1"/>
      <c r="C42" s="1"/>
      <c r="D42" s="1"/>
      <c r="E42" s="1"/>
      <c r="F42" s="1"/>
      <c r="G42" s="134">
        <f t="shared" si="1"/>
        <v>0</v>
      </c>
      <c r="I42" s="1">
        <v>36</v>
      </c>
      <c r="J42" s="1"/>
      <c r="K42" s="1"/>
      <c r="L42" s="1"/>
      <c r="M42" s="1"/>
      <c r="N42" s="1"/>
      <c r="O42" s="134">
        <f t="shared" si="2"/>
        <v>0</v>
      </c>
    </row>
    <row r="43" spans="1:15" ht="12.75">
      <c r="A43" s="1">
        <v>37</v>
      </c>
      <c r="B43" s="1"/>
      <c r="C43" s="1"/>
      <c r="D43" s="1"/>
      <c r="E43" s="1"/>
      <c r="F43" s="1"/>
      <c r="G43" s="134">
        <f t="shared" si="1"/>
        <v>0</v>
      </c>
      <c r="I43" s="1">
        <v>37</v>
      </c>
      <c r="J43" s="1"/>
      <c r="K43" s="1"/>
      <c r="L43" s="1"/>
      <c r="M43" s="1"/>
      <c r="N43" s="1"/>
      <c r="O43" s="134">
        <f t="shared" si="2"/>
        <v>0</v>
      </c>
    </row>
    <row r="44" spans="1:15" ht="12.75">
      <c r="A44" s="1">
        <v>38</v>
      </c>
      <c r="B44" s="1"/>
      <c r="C44" s="1"/>
      <c r="D44" s="1"/>
      <c r="E44" s="1"/>
      <c r="F44" s="1"/>
      <c r="G44" s="134">
        <f t="shared" si="1"/>
        <v>0</v>
      </c>
      <c r="I44" s="1">
        <v>38</v>
      </c>
      <c r="J44" s="1"/>
      <c r="K44" s="1"/>
      <c r="L44" s="1"/>
      <c r="M44" s="1"/>
      <c r="N44" s="1"/>
      <c r="O44" s="134">
        <f t="shared" si="2"/>
        <v>0</v>
      </c>
    </row>
    <row r="45" spans="1:15" ht="12.75">
      <c r="A45" s="1">
        <v>39</v>
      </c>
      <c r="B45" s="1"/>
      <c r="C45" s="1"/>
      <c r="D45" s="1"/>
      <c r="E45" s="1"/>
      <c r="F45" s="1"/>
      <c r="G45" s="134">
        <f t="shared" si="1"/>
        <v>0</v>
      </c>
      <c r="I45" s="1">
        <v>39</v>
      </c>
      <c r="J45" s="1"/>
      <c r="K45" s="1"/>
      <c r="L45" s="1"/>
      <c r="M45" s="1"/>
      <c r="N45" s="1"/>
      <c r="O45" s="134">
        <f t="shared" si="2"/>
        <v>0</v>
      </c>
    </row>
    <row r="46" spans="1:15" ht="12.75">
      <c r="A46" s="1">
        <v>40</v>
      </c>
      <c r="B46" s="1"/>
      <c r="C46" s="1"/>
      <c r="D46" s="1"/>
      <c r="E46" s="1"/>
      <c r="F46" s="1"/>
      <c r="G46" s="134">
        <f t="shared" si="1"/>
        <v>0</v>
      </c>
      <c r="I46" s="1">
        <v>40</v>
      </c>
      <c r="J46" s="1"/>
      <c r="K46" s="1"/>
      <c r="L46" s="1"/>
      <c r="M46" s="1"/>
      <c r="N46" s="1"/>
      <c r="O46" s="134">
        <f t="shared" si="2"/>
        <v>0</v>
      </c>
    </row>
    <row r="47" spans="1:15" ht="12.75">
      <c r="A47" s="1">
        <v>41</v>
      </c>
      <c r="B47" s="1"/>
      <c r="C47" s="1"/>
      <c r="D47" s="1"/>
      <c r="E47" s="1"/>
      <c r="F47" s="1"/>
      <c r="G47" s="134">
        <f t="shared" si="1"/>
        <v>0</v>
      </c>
      <c r="I47" s="1">
        <v>41</v>
      </c>
      <c r="J47" s="1"/>
      <c r="K47" s="1"/>
      <c r="L47" s="1"/>
      <c r="M47" s="1"/>
      <c r="N47" s="1"/>
      <c r="O47" s="134">
        <f t="shared" si="2"/>
        <v>0</v>
      </c>
    </row>
    <row r="48" spans="1:15" ht="12.75">
      <c r="A48" s="1">
        <v>42</v>
      </c>
      <c r="B48" s="1"/>
      <c r="C48" s="1"/>
      <c r="D48" s="1"/>
      <c r="E48" s="1"/>
      <c r="F48" s="1"/>
      <c r="G48" s="134">
        <f t="shared" si="1"/>
        <v>0</v>
      </c>
      <c r="I48" s="1">
        <v>42</v>
      </c>
      <c r="J48" s="1"/>
      <c r="K48" s="1"/>
      <c r="L48" s="1"/>
      <c r="M48" s="1"/>
      <c r="N48" s="1"/>
      <c r="O48" s="134">
        <f t="shared" si="2"/>
        <v>0</v>
      </c>
    </row>
    <row r="49" spans="1:15" ht="12.75">
      <c r="A49" s="1">
        <v>43</v>
      </c>
      <c r="B49" s="1"/>
      <c r="C49" s="1"/>
      <c r="D49" s="1"/>
      <c r="E49" s="1"/>
      <c r="F49" s="1"/>
      <c r="G49" s="134">
        <f t="shared" si="1"/>
        <v>0</v>
      </c>
      <c r="I49" s="1">
        <v>43</v>
      </c>
      <c r="J49" s="1"/>
      <c r="K49" s="1"/>
      <c r="L49" s="1"/>
      <c r="M49" s="1"/>
      <c r="N49" s="1"/>
      <c r="O49" s="134">
        <f t="shared" si="2"/>
        <v>0</v>
      </c>
    </row>
    <row r="50" spans="1:15" ht="12.75">
      <c r="A50" s="1">
        <v>44</v>
      </c>
      <c r="B50" s="1"/>
      <c r="C50" s="1"/>
      <c r="D50" s="1"/>
      <c r="E50" s="1"/>
      <c r="F50" s="1"/>
      <c r="G50" s="134">
        <f t="shared" si="1"/>
        <v>0</v>
      </c>
      <c r="I50" s="1">
        <v>44</v>
      </c>
      <c r="J50" s="1"/>
      <c r="K50" s="1"/>
      <c r="L50" s="1"/>
      <c r="M50" s="1"/>
      <c r="N50" s="1"/>
      <c r="O50" s="134">
        <f t="shared" si="2"/>
        <v>0</v>
      </c>
    </row>
    <row r="51" spans="1:15" ht="12.75">
      <c r="A51" s="1">
        <v>45</v>
      </c>
      <c r="B51" s="1"/>
      <c r="C51" s="1"/>
      <c r="D51" s="1"/>
      <c r="E51" s="1"/>
      <c r="F51" s="1"/>
      <c r="G51" s="134">
        <f t="shared" si="1"/>
        <v>0</v>
      </c>
      <c r="I51" s="1">
        <v>45</v>
      </c>
      <c r="J51" s="1"/>
      <c r="K51" s="1"/>
      <c r="L51" s="1"/>
      <c r="M51" s="1"/>
      <c r="N51" s="1"/>
      <c r="O51" s="134">
        <f t="shared" si="2"/>
        <v>0</v>
      </c>
    </row>
    <row r="52" spans="1:15" ht="12.75">
      <c r="A52" s="1">
        <v>46</v>
      </c>
      <c r="B52" s="1"/>
      <c r="C52" s="1"/>
      <c r="D52" s="1"/>
      <c r="E52" s="1"/>
      <c r="F52" s="1"/>
      <c r="G52" s="134">
        <f t="shared" si="1"/>
        <v>0</v>
      </c>
      <c r="I52" s="1">
        <v>46</v>
      </c>
      <c r="J52" s="1"/>
      <c r="K52" s="1"/>
      <c r="L52" s="1"/>
      <c r="M52" s="1"/>
      <c r="N52" s="1"/>
      <c r="O52" s="134">
        <f t="shared" si="2"/>
        <v>0</v>
      </c>
    </row>
    <row r="53" spans="1:15" ht="12.75">
      <c r="A53" s="1">
        <v>47</v>
      </c>
      <c r="B53" s="1"/>
      <c r="C53" s="1"/>
      <c r="D53" s="1"/>
      <c r="E53" s="1"/>
      <c r="F53" s="1"/>
      <c r="G53" s="134">
        <f t="shared" si="1"/>
        <v>0</v>
      </c>
      <c r="I53" s="1">
        <v>47</v>
      </c>
      <c r="J53" s="1"/>
      <c r="K53" s="1"/>
      <c r="L53" s="1"/>
      <c r="M53" s="1"/>
      <c r="N53" s="1"/>
      <c r="O53" s="134">
        <f t="shared" si="2"/>
        <v>0</v>
      </c>
    </row>
    <row r="54" spans="1:15" ht="12.75">
      <c r="A54" s="1">
        <v>48</v>
      </c>
      <c r="B54" s="1"/>
      <c r="C54" s="1"/>
      <c r="D54" s="1"/>
      <c r="E54" s="1"/>
      <c r="F54" s="1"/>
      <c r="G54" s="134">
        <f t="shared" si="1"/>
        <v>0</v>
      </c>
      <c r="I54" s="1">
        <v>48</v>
      </c>
      <c r="J54" s="1"/>
      <c r="K54" s="1"/>
      <c r="L54" s="1"/>
      <c r="M54" s="1"/>
      <c r="N54" s="1"/>
      <c r="O54" s="134">
        <f t="shared" si="2"/>
        <v>0</v>
      </c>
    </row>
    <row r="55" spans="1:15" ht="12.75">
      <c r="A55" s="1">
        <v>49</v>
      </c>
      <c r="B55" s="1"/>
      <c r="C55" s="1"/>
      <c r="D55" s="1"/>
      <c r="E55" s="1"/>
      <c r="F55" s="1"/>
      <c r="G55" s="134">
        <f t="shared" si="1"/>
        <v>0</v>
      </c>
      <c r="I55" s="1">
        <v>49</v>
      </c>
      <c r="J55" s="1"/>
      <c r="K55" s="1"/>
      <c r="L55" s="1"/>
      <c r="M55" s="1"/>
      <c r="N55" s="1"/>
      <c r="O55" s="134">
        <f t="shared" si="2"/>
        <v>0</v>
      </c>
    </row>
    <row r="56" spans="1:15" ht="12.75">
      <c r="A56" s="1">
        <v>50</v>
      </c>
      <c r="B56" s="1"/>
      <c r="C56" s="1"/>
      <c r="D56" s="1"/>
      <c r="E56" s="1"/>
      <c r="F56" s="1"/>
      <c r="G56" s="134">
        <f t="shared" si="1"/>
        <v>0</v>
      </c>
      <c r="I56" s="1">
        <v>50</v>
      </c>
      <c r="J56" s="1"/>
      <c r="K56" s="1"/>
      <c r="L56" s="1"/>
      <c r="M56" s="1"/>
      <c r="N56" s="1"/>
      <c r="O56" s="134">
        <f t="shared" si="2"/>
        <v>0</v>
      </c>
    </row>
    <row r="58" spans="6:15" ht="12.75">
      <c r="F58" s="120" t="s">
        <v>772</v>
      </c>
      <c r="G58" s="133">
        <f>SUM(G17:G56)</f>
        <v>0</v>
      </c>
      <c r="N58" s="120" t="s">
        <v>772</v>
      </c>
      <c r="O58" s="133">
        <f>SUM(O17:O56)</f>
        <v>0</v>
      </c>
    </row>
  </sheetData>
  <sheetProtection/>
  <mergeCells count="4">
    <mergeCell ref="A1:G1"/>
    <mergeCell ref="A15:G15"/>
    <mergeCell ref="I1:O1"/>
    <mergeCell ref="I15:O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047"/>
  <sheetViews>
    <sheetView rightToLeft="1" zoomScalePageLayoutView="0" workbookViewId="0" topLeftCell="A28">
      <selection activeCell="D37" sqref="D37"/>
    </sheetView>
  </sheetViews>
  <sheetFormatPr defaultColWidth="9.140625" defaultRowHeight="12.75"/>
  <cols>
    <col min="1" max="1" width="10.00390625" style="0" bestFit="1" customWidth="1"/>
    <col min="2" max="2" width="11.421875" style="0" bestFit="1" customWidth="1"/>
  </cols>
  <sheetData>
    <row r="2" spans="1:2" ht="12.75">
      <c r="A2" s="160" t="s">
        <v>811</v>
      </c>
      <c r="B2" s="160" t="s">
        <v>812</v>
      </c>
    </row>
    <row r="3" spans="1:2" ht="12.75">
      <c r="A3" s="160">
        <v>0</v>
      </c>
      <c r="B3" s="161">
        <v>114255.25</v>
      </c>
    </row>
    <row r="4" spans="1:2" ht="12.75">
      <c r="A4" s="160">
        <v>7</v>
      </c>
      <c r="B4" s="161">
        <v>1165.78</v>
      </c>
    </row>
    <row r="5" spans="1:2" ht="12.75">
      <c r="A5" s="160">
        <v>8</v>
      </c>
      <c r="B5" s="161">
        <v>19298.66</v>
      </c>
    </row>
    <row r="6" spans="1:2" ht="12.75">
      <c r="A6" s="160">
        <v>9</v>
      </c>
      <c r="B6" s="161">
        <v>15625</v>
      </c>
    </row>
    <row r="7" spans="1:2" ht="12.75">
      <c r="A7" s="160">
        <v>10</v>
      </c>
      <c r="B7" s="161">
        <v>7061.4</v>
      </c>
    </row>
    <row r="8" spans="1:2" ht="12.75">
      <c r="A8" s="160">
        <v>17</v>
      </c>
      <c r="B8" s="161">
        <v>15874.52</v>
      </c>
    </row>
    <row r="9" spans="1:2" ht="12.75">
      <c r="A9" s="160">
        <v>19</v>
      </c>
      <c r="B9" s="161">
        <v>1366.22</v>
      </c>
    </row>
    <row r="10" spans="1:2" ht="12.75">
      <c r="A10" s="160">
        <v>20</v>
      </c>
      <c r="B10" s="161">
        <v>1482.88</v>
      </c>
    </row>
    <row r="11" spans="1:2" ht="12.75">
      <c r="A11" s="160">
        <v>21</v>
      </c>
      <c r="B11" s="161">
        <v>1269.02</v>
      </c>
    </row>
    <row r="12" spans="1:2" ht="12.75">
      <c r="A12" s="160">
        <v>22</v>
      </c>
      <c r="B12" s="161">
        <v>18073.35</v>
      </c>
    </row>
    <row r="13" spans="1:2" ht="12.75">
      <c r="A13" s="160">
        <v>24</v>
      </c>
      <c r="B13" s="161">
        <v>1595.5</v>
      </c>
    </row>
    <row r="14" spans="1:2" ht="12.75">
      <c r="A14" s="160">
        <v>26</v>
      </c>
      <c r="B14" s="160">
        <v>793.05</v>
      </c>
    </row>
    <row r="15" spans="1:2" ht="12.75">
      <c r="A15" s="160">
        <v>27</v>
      </c>
      <c r="B15" s="161">
        <v>5290.04</v>
      </c>
    </row>
    <row r="16" spans="1:2" ht="12.75">
      <c r="A16" s="160">
        <v>28</v>
      </c>
      <c r="B16" s="161">
        <v>3915</v>
      </c>
    </row>
    <row r="17" spans="1:2" ht="12.75">
      <c r="A17" s="160">
        <v>29</v>
      </c>
      <c r="B17" s="161">
        <v>18787.39</v>
      </c>
    </row>
    <row r="18" spans="1:2" ht="12.75">
      <c r="A18" s="160">
        <v>30</v>
      </c>
      <c r="B18" s="160">
        <v>619.43</v>
      </c>
    </row>
    <row r="19" spans="1:2" ht="12.75">
      <c r="A19" s="160">
        <v>31</v>
      </c>
      <c r="B19" s="161">
        <v>3244.62</v>
      </c>
    </row>
    <row r="20" spans="1:2" ht="12.75">
      <c r="A20" s="160">
        <v>33</v>
      </c>
      <c r="B20" s="161">
        <v>13139.39</v>
      </c>
    </row>
    <row r="21" spans="1:2" ht="12.75">
      <c r="A21" s="160">
        <v>35</v>
      </c>
      <c r="B21" s="161">
        <v>1539.19</v>
      </c>
    </row>
    <row r="22" spans="1:2" ht="12.75">
      <c r="A22" s="160">
        <v>36</v>
      </c>
      <c r="B22" s="160">
        <v>604.68</v>
      </c>
    </row>
    <row r="23" spans="1:2" ht="12.75">
      <c r="A23" s="160">
        <v>37</v>
      </c>
      <c r="B23" s="161">
        <v>34591.43</v>
      </c>
    </row>
    <row r="24" spans="1:2" ht="12.75">
      <c r="A24" s="160">
        <v>40</v>
      </c>
      <c r="B24" s="161">
        <v>1389.02</v>
      </c>
    </row>
    <row r="25" spans="1:2" ht="12.75">
      <c r="A25" s="160">
        <v>43</v>
      </c>
      <c r="B25" s="161">
        <v>1014.28</v>
      </c>
    </row>
    <row r="26" spans="1:2" ht="12.75">
      <c r="A26" s="160">
        <v>44</v>
      </c>
      <c r="B26" s="160">
        <v>281.56</v>
      </c>
    </row>
    <row r="27" spans="1:2" ht="12.75">
      <c r="A27" s="160">
        <v>45</v>
      </c>
      <c r="B27" s="161">
        <v>1726.89</v>
      </c>
    </row>
    <row r="28" spans="1:2" ht="12.75">
      <c r="A28" s="160">
        <v>48</v>
      </c>
      <c r="B28" s="161">
        <v>15625</v>
      </c>
    </row>
    <row r="29" spans="1:2" ht="12.75">
      <c r="A29" s="160">
        <v>49</v>
      </c>
      <c r="B29" s="161">
        <v>2346.32</v>
      </c>
    </row>
    <row r="30" spans="1:2" ht="12.75">
      <c r="A30" s="160">
        <v>50</v>
      </c>
      <c r="B30" s="161">
        <v>14370.19</v>
      </c>
    </row>
    <row r="31" spans="1:2" ht="12.75">
      <c r="A31" s="160">
        <v>53</v>
      </c>
      <c r="B31" s="161">
        <v>1088.69</v>
      </c>
    </row>
    <row r="32" spans="1:2" ht="12.75">
      <c r="A32" s="160">
        <v>54</v>
      </c>
      <c r="B32" s="161">
        <v>6497.34</v>
      </c>
    </row>
    <row r="33" spans="1:2" ht="12.75">
      <c r="A33" s="160">
        <v>55</v>
      </c>
      <c r="B33" s="161">
        <v>3244.62</v>
      </c>
    </row>
    <row r="34" spans="1:2" ht="12.75">
      <c r="A34" s="160">
        <v>56</v>
      </c>
      <c r="B34" s="161">
        <v>6475.84</v>
      </c>
    </row>
    <row r="35" spans="1:2" ht="12.75">
      <c r="A35" s="160">
        <v>60</v>
      </c>
      <c r="B35" s="161">
        <v>9653.42</v>
      </c>
    </row>
    <row r="36" spans="1:2" ht="12.75">
      <c r="A36" s="160">
        <v>61</v>
      </c>
      <c r="B36" s="161">
        <v>12620.36</v>
      </c>
    </row>
    <row r="37" spans="1:2" ht="12.75">
      <c r="A37" s="160">
        <v>62</v>
      </c>
      <c r="B37" s="160">
        <v>788.36</v>
      </c>
    </row>
    <row r="38" spans="1:2" ht="12.75">
      <c r="A38" s="160">
        <v>63</v>
      </c>
      <c r="B38" s="161">
        <v>5832.28</v>
      </c>
    </row>
    <row r="39" spans="1:2" ht="12.75">
      <c r="A39" s="160">
        <v>64</v>
      </c>
      <c r="B39" s="161">
        <v>2102.3</v>
      </c>
    </row>
    <row r="40" spans="1:2" ht="12.75">
      <c r="A40" s="160">
        <v>66</v>
      </c>
      <c r="B40" s="161">
        <v>53005.54</v>
      </c>
    </row>
    <row r="41" spans="1:2" ht="12.75">
      <c r="A41" s="160">
        <v>67</v>
      </c>
      <c r="B41" s="160">
        <v>694.51</v>
      </c>
    </row>
    <row r="42" spans="1:2" ht="12.75">
      <c r="A42" s="160">
        <v>70</v>
      </c>
      <c r="B42" s="161">
        <v>2342.3</v>
      </c>
    </row>
    <row r="43" spans="1:2" ht="12.75">
      <c r="A43" s="160">
        <v>71</v>
      </c>
      <c r="B43" s="161">
        <v>2391.23</v>
      </c>
    </row>
    <row r="44" spans="1:2" ht="12.75">
      <c r="A44" s="160">
        <v>72</v>
      </c>
      <c r="B44" s="161">
        <v>1694.05</v>
      </c>
    </row>
    <row r="45" spans="1:2" ht="12.75">
      <c r="A45" s="160">
        <v>73</v>
      </c>
      <c r="B45" s="161">
        <v>6837.84</v>
      </c>
    </row>
    <row r="46" spans="1:2" ht="12.75">
      <c r="A46" s="160">
        <v>74</v>
      </c>
      <c r="B46" s="160">
        <v>732.05</v>
      </c>
    </row>
    <row r="47" spans="1:2" ht="12.75">
      <c r="A47" s="160">
        <v>76</v>
      </c>
      <c r="B47" s="160">
        <v>829.92</v>
      </c>
    </row>
    <row r="48" spans="1:2" ht="12.75">
      <c r="A48" s="160">
        <v>77</v>
      </c>
      <c r="B48" s="160">
        <v>650.93</v>
      </c>
    </row>
    <row r="49" spans="1:2" ht="12.75">
      <c r="A49" s="160">
        <v>78</v>
      </c>
      <c r="B49" s="161">
        <v>7803.19</v>
      </c>
    </row>
    <row r="50" spans="1:2" ht="12.75">
      <c r="A50" s="160">
        <v>79</v>
      </c>
      <c r="B50" s="161">
        <v>16287.98</v>
      </c>
    </row>
    <row r="51" spans="1:2" ht="12.75">
      <c r="A51" s="160">
        <v>80</v>
      </c>
      <c r="B51" s="161">
        <v>1163.77</v>
      </c>
    </row>
    <row r="52" spans="1:2" ht="12.75">
      <c r="A52" s="160">
        <v>81</v>
      </c>
      <c r="B52" s="160">
        <v>833.95</v>
      </c>
    </row>
    <row r="53" spans="1:2" ht="12.75">
      <c r="A53" s="160">
        <v>82</v>
      </c>
      <c r="B53" s="160">
        <v>976.06</v>
      </c>
    </row>
    <row r="54" spans="1:2" ht="12.75">
      <c r="A54" s="160">
        <v>83</v>
      </c>
      <c r="B54" s="161">
        <v>1317.96</v>
      </c>
    </row>
    <row r="55" spans="1:2" ht="12.75">
      <c r="A55" s="160">
        <v>85</v>
      </c>
      <c r="B55" s="161">
        <v>3620.03</v>
      </c>
    </row>
    <row r="56" spans="1:2" ht="12.75">
      <c r="A56" s="160">
        <v>183</v>
      </c>
      <c r="B56" s="161">
        <v>11418.43</v>
      </c>
    </row>
    <row r="57" spans="1:2" ht="12.75">
      <c r="A57" s="160">
        <v>269</v>
      </c>
      <c r="B57" s="161">
        <v>10727.31</v>
      </c>
    </row>
    <row r="58" spans="1:2" ht="12.75">
      <c r="A58" s="160">
        <v>271</v>
      </c>
      <c r="B58" s="161">
        <v>45433.33</v>
      </c>
    </row>
    <row r="59" spans="1:2" ht="12.75">
      <c r="A59" s="160">
        <v>305</v>
      </c>
      <c r="B59" s="161">
        <v>17127.65</v>
      </c>
    </row>
    <row r="60" spans="1:2" ht="12.75">
      <c r="A60" s="160">
        <v>362</v>
      </c>
      <c r="B60" s="161">
        <v>7512.13</v>
      </c>
    </row>
    <row r="61" spans="1:2" ht="12.75">
      <c r="A61" s="160">
        <v>9999999</v>
      </c>
      <c r="B61" s="161">
        <v>33121.95</v>
      </c>
    </row>
    <row r="62" spans="1:2" ht="12.75">
      <c r="A62" s="160">
        <v>99999999</v>
      </c>
      <c r="B62" s="161">
        <v>12605.12</v>
      </c>
    </row>
    <row r="63" spans="1:2" ht="12.75">
      <c r="A63" s="160">
        <v>500244272</v>
      </c>
      <c r="B63" s="161">
        <v>36079.95</v>
      </c>
    </row>
    <row r="64" spans="1:2" ht="12.75">
      <c r="A64" s="160">
        <v>510623721</v>
      </c>
      <c r="B64" s="161">
        <v>8781.8</v>
      </c>
    </row>
    <row r="65" spans="1:2" ht="12.75">
      <c r="A65" s="160">
        <v>510623812</v>
      </c>
      <c r="B65" s="161">
        <v>71224.29</v>
      </c>
    </row>
    <row r="66" spans="1:2" ht="12.75">
      <c r="A66" s="160">
        <v>510681968</v>
      </c>
      <c r="B66" s="161">
        <v>67573.87</v>
      </c>
    </row>
    <row r="67" spans="1:2" ht="12.75">
      <c r="A67" s="160">
        <v>510685589</v>
      </c>
      <c r="B67" s="161">
        <v>13878.63</v>
      </c>
    </row>
    <row r="68" spans="1:2" ht="12.75">
      <c r="A68" s="160">
        <v>510823057</v>
      </c>
      <c r="B68" s="161">
        <v>8781.8</v>
      </c>
    </row>
    <row r="69" spans="1:2" ht="12.75">
      <c r="A69" s="160">
        <v>510978422</v>
      </c>
      <c r="B69" s="161">
        <v>35557</v>
      </c>
    </row>
    <row r="70" spans="1:2" ht="12.75">
      <c r="A70" s="160">
        <v>511602591</v>
      </c>
      <c r="B70" s="161">
        <v>90311.23</v>
      </c>
    </row>
    <row r="71" spans="1:2" ht="12.75">
      <c r="A71" s="160">
        <v>511653354</v>
      </c>
      <c r="B71" s="161">
        <v>180504.71</v>
      </c>
    </row>
    <row r="72" spans="1:2" ht="12.75">
      <c r="A72" s="160">
        <v>511757486</v>
      </c>
      <c r="B72" s="161">
        <v>428218.58</v>
      </c>
    </row>
    <row r="73" spans="1:2" ht="12.75">
      <c r="A73" s="160">
        <v>511889867</v>
      </c>
      <c r="B73" s="161">
        <v>6539.77</v>
      </c>
    </row>
    <row r="74" spans="1:2" ht="12.75">
      <c r="A74" s="160">
        <v>512120841</v>
      </c>
      <c r="B74" s="161">
        <v>144765.22</v>
      </c>
    </row>
    <row r="75" spans="1:2" ht="12.75">
      <c r="A75" s="160">
        <v>512158668</v>
      </c>
      <c r="B75" s="161">
        <v>316184.42</v>
      </c>
    </row>
    <row r="76" spans="1:2" ht="12.75">
      <c r="A76" s="160">
        <v>512339656</v>
      </c>
      <c r="B76" s="161">
        <v>222204.88</v>
      </c>
    </row>
    <row r="77" spans="1:2" ht="12.75">
      <c r="A77" s="160">
        <v>512371717</v>
      </c>
      <c r="B77" s="161">
        <v>154507.72</v>
      </c>
    </row>
    <row r="78" spans="1:2" ht="12.75">
      <c r="A78" s="160">
        <v>512390188</v>
      </c>
      <c r="B78" s="161">
        <v>3365.69</v>
      </c>
    </row>
    <row r="79" spans="1:2" ht="12.75">
      <c r="A79" s="160">
        <v>512390618</v>
      </c>
      <c r="B79" s="161">
        <v>77922.45</v>
      </c>
    </row>
    <row r="80" spans="1:2" ht="12.75">
      <c r="A80" s="160">
        <v>512390626</v>
      </c>
      <c r="B80" s="161">
        <v>35049.92</v>
      </c>
    </row>
    <row r="81" spans="1:2" ht="12.75">
      <c r="A81" s="160">
        <v>512390675</v>
      </c>
      <c r="B81" s="161">
        <v>6467.54</v>
      </c>
    </row>
    <row r="82" spans="1:2" ht="12.75">
      <c r="A82" s="160">
        <v>512390683</v>
      </c>
      <c r="B82" s="161">
        <v>342097.62</v>
      </c>
    </row>
    <row r="83" spans="1:2" ht="12.75">
      <c r="A83" s="160">
        <v>512390691</v>
      </c>
      <c r="B83" s="161">
        <v>13296.71</v>
      </c>
    </row>
    <row r="84" spans="1:2" ht="12.75">
      <c r="A84" s="160">
        <v>512505678</v>
      </c>
      <c r="B84" s="161">
        <v>225543.58</v>
      </c>
    </row>
    <row r="85" spans="1:2" ht="12.75">
      <c r="A85" s="160">
        <v>512599895</v>
      </c>
      <c r="B85" s="161">
        <v>199009.05</v>
      </c>
    </row>
    <row r="86" spans="1:2" ht="12.75">
      <c r="A86" s="160">
        <v>512805367</v>
      </c>
      <c r="B86" s="161">
        <v>229558.69</v>
      </c>
    </row>
    <row r="87" spans="1:2" ht="12.75">
      <c r="A87" s="160">
        <v>513134411</v>
      </c>
      <c r="B87" s="161">
        <v>383179.67</v>
      </c>
    </row>
    <row r="88" spans="1:2" ht="12.75">
      <c r="A88" s="160">
        <v>513151456</v>
      </c>
      <c r="B88" s="161">
        <v>376720.62</v>
      </c>
    </row>
    <row r="89" spans="1:2" ht="12.75">
      <c r="A89" s="160">
        <v>513275222</v>
      </c>
      <c r="B89" s="161">
        <v>55678.93</v>
      </c>
    </row>
    <row r="90" spans="1:2" ht="12.75">
      <c r="A90" s="160">
        <v>513444562</v>
      </c>
      <c r="B90" s="161">
        <v>144765.22</v>
      </c>
    </row>
    <row r="91" spans="1:2" ht="12.75">
      <c r="A91" s="160">
        <v>513590042</v>
      </c>
      <c r="B91" s="161">
        <v>327666.64</v>
      </c>
    </row>
    <row r="92" spans="1:2" ht="12.75">
      <c r="A92" s="160">
        <v>513692830</v>
      </c>
      <c r="B92" s="161">
        <v>163918.78</v>
      </c>
    </row>
    <row r="93" spans="1:2" ht="12.75">
      <c r="A93" s="160">
        <v>513698134</v>
      </c>
      <c r="B93" s="161">
        <v>217513.4</v>
      </c>
    </row>
    <row r="94" spans="1:2" ht="12.75">
      <c r="A94" s="160">
        <v>513739888</v>
      </c>
      <c r="B94" s="161">
        <v>128061.54</v>
      </c>
    </row>
    <row r="95" spans="1:2" ht="12.75">
      <c r="A95" s="160">
        <v>513927541</v>
      </c>
      <c r="B95" s="161">
        <v>3567.57</v>
      </c>
    </row>
    <row r="96" spans="1:2" ht="12.75">
      <c r="A96" s="160">
        <v>513997569</v>
      </c>
      <c r="B96" s="161">
        <v>448468.61</v>
      </c>
    </row>
    <row r="97" spans="1:2" ht="12.75">
      <c r="A97" s="160">
        <v>514010149</v>
      </c>
      <c r="B97" s="161">
        <v>128061.54</v>
      </c>
    </row>
    <row r="98" spans="1:2" ht="12.75">
      <c r="A98" s="160">
        <v>514490515</v>
      </c>
      <c r="B98" s="161">
        <v>256791.5</v>
      </c>
    </row>
    <row r="99" spans="1:2" ht="12.75">
      <c r="A99" s="160">
        <v>514712884</v>
      </c>
      <c r="B99" s="161">
        <v>71541.74</v>
      </c>
    </row>
    <row r="100" spans="1:2" ht="12.75">
      <c r="A100" s="160">
        <v>514713197</v>
      </c>
      <c r="B100" s="161">
        <v>67913.86</v>
      </c>
    </row>
    <row r="101" spans="1:2" ht="12.75">
      <c r="A101" s="160">
        <v>514713361</v>
      </c>
      <c r="B101" s="161">
        <v>34423.37</v>
      </c>
    </row>
    <row r="102" spans="1:2" ht="12.75">
      <c r="A102" s="160">
        <v>514841907</v>
      </c>
      <c r="B102" s="161">
        <v>133629.43</v>
      </c>
    </row>
    <row r="103" spans="1:2" ht="12.75">
      <c r="A103" s="160">
        <v>514904606</v>
      </c>
      <c r="B103" s="161">
        <v>5872.77</v>
      </c>
    </row>
    <row r="104" spans="1:2" ht="12.75">
      <c r="A104" s="160">
        <v>514918143</v>
      </c>
      <c r="B104" s="161">
        <v>4901.33</v>
      </c>
    </row>
    <row r="105" spans="1:2" ht="12.75">
      <c r="A105" s="160">
        <v>514918705</v>
      </c>
      <c r="B105" s="161">
        <v>14304.12</v>
      </c>
    </row>
    <row r="106" spans="1:2" ht="12.75">
      <c r="A106" s="160">
        <v>514948637</v>
      </c>
      <c r="B106" s="161">
        <v>370261.56</v>
      </c>
    </row>
    <row r="107" spans="1:2" ht="12.75">
      <c r="A107" s="160">
        <v>515007300</v>
      </c>
      <c r="B107" s="161">
        <v>10045.69</v>
      </c>
    </row>
    <row r="108" spans="1:2" ht="12.75">
      <c r="A108" s="160">
        <v>515010916</v>
      </c>
      <c r="B108" s="161">
        <v>98457.12</v>
      </c>
    </row>
    <row r="109" spans="1:2" ht="12.75">
      <c r="A109" s="160">
        <v>515042414</v>
      </c>
      <c r="B109" s="161">
        <v>300782.96</v>
      </c>
    </row>
    <row r="110" spans="1:2" ht="12.75">
      <c r="A110" s="160">
        <v>515116705</v>
      </c>
      <c r="B110" s="161">
        <v>50450.54</v>
      </c>
    </row>
    <row r="111" spans="1:2" ht="12.75">
      <c r="A111" s="160">
        <v>515488534</v>
      </c>
      <c r="B111" s="161">
        <v>294847.6</v>
      </c>
    </row>
    <row r="112" spans="1:2" ht="12.75">
      <c r="A112" s="160">
        <v>515560381</v>
      </c>
      <c r="B112" s="161">
        <v>11795.79</v>
      </c>
    </row>
    <row r="113" spans="1:2" ht="12.75">
      <c r="A113" s="160">
        <v>515598449</v>
      </c>
      <c r="B113" s="161"/>
    </row>
    <row r="114" spans="1:2" ht="12.75">
      <c r="A114" s="160">
        <v>520041831</v>
      </c>
      <c r="B114" s="161">
        <v>154309.17</v>
      </c>
    </row>
    <row r="115" spans="1:2" ht="12.75">
      <c r="A115" s="160">
        <v>570021881</v>
      </c>
      <c r="B115" s="161">
        <v>24387.37</v>
      </c>
    </row>
    <row r="116" spans="1:2" ht="12.75">
      <c r="A116" s="160">
        <v>580000263</v>
      </c>
      <c r="B116" s="161">
        <v>77501.82</v>
      </c>
    </row>
    <row r="117" spans="1:2" ht="12.75">
      <c r="A117" s="160">
        <v>580003499</v>
      </c>
      <c r="B117" s="161">
        <v>6366.8</v>
      </c>
    </row>
    <row r="118" spans="1:2" ht="12.75">
      <c r="A118" s="160">
        <v>580005601</v>
      </c>
      <c r="B118" s="161">
        <v>27407.39</v>
      </c>
    </row>
    <row r="119" spans="1:2" ht="12.75">
      <c r="A119" s="160">
        <v>580005924</v>
      </c>
      <c r="B119" s="161">
        <v>14289</v>
      </c>
    </row>
    <row r="120" spans="1:2" ht="12.75">
      <c r="A120" s="160">
        <v>580007326</v>
      </c>
      <c r="B120" s="161">
        <v>91910.16</v>
      </c>
    </row>
    <row r="121" spans="1:2" ht="12.75">
      <c r="A121" s="160">
        <v>580007656</v>
      </c>
      <c r="B121" s="161">
        <v>2299.8</v>
      </c>
    </row>
    <row r="122" spans="1:2" ht="12.75">
      <c r="A122" s="160">
        <v>580008357</v>
      </c>
      <c r="B122" s="161">
        <v>22627.24</v>
      </c>
    </row>
    <row r="123" spans="1:2" ht="12.75">
      <c r="A123" s="160">
        <v>580012284</v>
      </c>
      <c r="B123" s="161">
        <v>103868.76</v>
      </c>
    </row>
    <row r="124" spans="1:2" ht="12.75">
      <c r="A124" s="160">
        <v>580013340</v>
      </c>
      <c r="B124" s="161">
        <v>26224.37</v>
      </c>
    </row>
    <row r="125" spans="1:2" ht="12.75">
      <c r="A125" s="160">
        <v>580013910</v>
      </c>
      <c r="B125" s="161">
        <v>17255.49</v>
      </c>
    </row>
    <row r="126" spans="1:2" ht="12.75">
      <c r="A126" s="160">
        <v>580015758</v>
      </c>
      <c r="B126" s="161">
        <v>1387.59</v>
      </c>
    </row>
    <row r="127" spans="1:2" ht="12.75">
      <c r="A127" s="160">
        <v>580016715</v>
      </c>
      <c r="B127" s="161">
        <v>927927.78</v>
      </c>
    </row>
    <row r="128" spans="1:2" ht="12.75">
      <c r="A128" s="160">
        <v>580017457</v>
      </c>
      <c r="B128" s="161">
        <v>16215.2</v>
      </c>
    </row>
    <row r="129" spans="1:2" ht="12.75">
      <c r="A129" s="160">
        <v>580023679</v>
      </c>
      <c r="B129" s="161">
        <v>1387.6</v>
      </c>
    </row>
    <row r="130" spans="1:2" ht="12.75">
      <c r="A130" s="160">
        <v>580026003</v>
      </c>
      <c r="B130" s="161">
        <v>446725.53</v>
      </c>
    </row>
    <row r="131" spans="1:2" ht="12.75">
      <c r="A131" s="160">
        <v>580026896</v>
      </c>
      <c r="B131" s="161">
        <v>7742.93</v>
      </c>
    </row>
    <row r="132" spans="1:2" ht="12.75">
      <c r="A132" s="160">
        <v>580029874</v>
      </c>
      <c r="B132" s="161">
        <v>25211.11</v>
      </c>
    </row>
    <row r="133" spans="1:2" ht="12.75">
      <c r="A133" s="160">
        <v>580030542</v>
      </c>
      <c r="B133" s="161">
        <v>30069.92</v>
      </c>
    </row>
    <row r="134" spans="1:2" ht="12.75">
      <c r="A134" s="160">
        <v>580032118</v>
      </c>
      <c r="B134" s="161">
        <v>4571.12</v>
      </c>
    </row>
    <row r="135" spans="1:2" ht="12.75">
      <c r="A135" s="160">
        <v>580033116</v>
      </c>
      <c r="B135" s="161">
        <v>6366.8</v>
      </c>
    </row>
    <row r="136" spans="1:2" ht="12.75">
      <c r="A136" s="160">
        <v>580036242</v>
      </c>
      <c r="B136" s="161">
        <v>849112.34</v>
      </c>
    </row>
    <row r="137" spans="1:2" ht="12.75">
      <c r="A137" s="160">
        <v>580036515</v>
      </c>
      <c r="B137" s="161">
        <v>4353.45</v>
      </c>
    </row>
    <row r="138" spans="1:2" ht="12.75">
      <c r="A138" s="160">
        <v>580037661</v>
      </c>
      <c r="B138" s="161">
        <v>1387.6</v>
      </c>
    </row>
    <row r="139" spans="1:2" ht="12.75">
      <c r="A139" s="160">
        <v>580037828</v>
      </c>
      <c r="B139" s="161">
        <v>17469.42</v>
      </c>
    </row>
    <row r="140" spans="1:2" ht="12.75">
      <c r="A140" s="160">
        <v>580038156</v>
      </c>
      <c r="B140" s="161">
        <v>407063.72</v>
      </c>
    </row>
    <row r="141" spans="1:2" ht="12.75">
      <c r="A141" s="160">
        <v>580040376</v>
      </c>
      <c r="B141" s="161">
        <v>5713.78</v>
      </c>
    </row>
    <row r="142" spans="1:2" ht="12.75">
      <c r="A142" s="160">
        <v>580040541</v>
      </c>
      <c r="B142" s="161">
        <v>3517.76</v>
      </c>
    </row>
    <row r="143" spans="1:2" ht="12.75">
      <c r="A143" s="160">
        <v>580042125</v>
      </c>
      <c r="B143" s="161">
        <v>376612.31</v>
      </c>
    </row>
    <row r="144" spans="1:2" ht="12.75">
      <c r="A144" s="160">
        <v>580046829</v>
      </c>
      <c r="B144" s="161">
        <v>383179.67</v>
      </c>
    </row>
    <row r="145" spans="1:2" ht="12.75">
      <c r="A145" s="160">
        <v>580049534</v>
      </c>
      <c r="B145" s="161">
        <v>202413.81</v>
      </c>
    </row>
    <row r="146" spans="1:2" ht="12.75">
      <c r="A146" s="160">
        <v>580050789</v>
      </c>
      <c r="B146" s="161">
        <v>58574.24</v>
      </c>
    </row>
    <row r="147" spans="1:2" ht="12.75">
      <c r="A147" s="160">
        <v>580052728</v>
      </c>
      <c r="B147" s="161">
        <v>743660.17</v>
      </c>
    </row>
    <row r="148" spans="1:2" ht="12.75">
      <c r="A148" s="160">
        <v>580052793</v>
      </c>
      <c r="B148" s="161">
        <v>138195.11</v>
      </c>
    </row>
    <row r="149" spans="1:2" ht="12.75">
      <c r="A149" s="160">
        <v>580055937</v>
      </c>
      <c r="B149" s="161">
        <v>213486</v>
      </c>
    </row>
    <row r="150" spans="1:2" ht="12.75">
      <c r="A150" s="160">
        <v>580056497</v>
      </c>
      <c r="B150" s="161">
        <v>7642.3</v>
      </c>
    </row>
    <row r="151" spans="1:2" ht="12.75">
      <c r="A151" s="160">
        <v>580059566</v>
      </c>
      <c r="B151" s="161">
        <v>120278.28</v>
      </c>
    </row>
    <row r="152" spans="1:2" ht="12.75">
      <c r="A152" s="160">
        <v>580062206</v>
      </c>
      <c r="B152" s="161">
        <v>3814.45</v>
      </c>
    </row>
    <row r="153" spans="1:2" ht="12.75">
      <c r="A153" s="160">
        <v>580082568</v>
      </c>
      <c r="B153" s="161">
        <v>2299.8</v>
      </c>
    </row>
    <row r="154" spans="1:2" ht="12.75">
      <c r="A154" s="160">
        <v>580082576</v>
      </c>
      <c r="B154" s="161">
        <v>2299.8</v>
      </c>
    </row>
    <row r="155" spans="1:2" ht="12.75">
      <c r="A155" s="160">
        <v>580087625</v>
      </c>
      <c r="B155" s="161">
        <v>17959.8</v>
      </c>
    </row>
    <row r="156" spans="1:2" ht="12.75">
      <c r="A156" s="160">
        <v>580087880</v>
      </c>
      <c r="B156" s="161">
        <v>3138.45</v>
      </c>
    </row>
    <row r="157" spans="1:2" ht="12.75">
      <c r="A157" s="160">
        <v>580088631</v>
      </c>
      <c r="B157" s="161">
        <v>2299.8</v>
      </c>
    </row>
    <row r="158" spans="1:2" ht="12.75">
      <c r="A158" s="160">
        <v>580093151</v>
      </c>
      <c r="B158" s="161">
        <v>953099.24</v>
      </c>
    </row>
    <row r="159" spans="1:2" ht="12.75">
      <c r="A159" s="160">
        <v>580093680</v>
      </c>
      <c r="B159" s="161">
        <v>121280.62</v>
      </c>
    </row>
    <row r="160" spans="1:2" ht="12.75">
      <c r="A160" s="160">
        <v>580095396</v>
      </c>
      <c r="B160" s="161">
        <v>381177.99</v>
      </c>
    </row>
    <row r="161" spans="1:2" ht="12.75">
      <c r="A161" s="160">
        <v>580096121</v>
      </c>
      <c r="B161" s="161">
        <v>17483.19</v>
      </c>
    </row>
    <row r="162" spans="1:2" ht="12.75">
      <c r="A162" s="160">
        <v>580096675</v>
      </c>
      <c r="B162" s="161">
        <v>5279.03</v>
      </c>
    </row>
    <row r="163" spans="1:2" ht="12.75">
      <c r="A163" s="160">
        <v>580100121</v>
      </c>
      <c r="B163" s="161">
        <v>133629.43</v>
      </c>
    </row>
    <row r="164" spans="1:2" ht="12.75">
      <c r="A164" s="160">
        <v>580100139</v>
      </c>
      <c r="B164" s="161">
        <v>109798.85</v>
      </c>
    </row>
    <row r="165" spans="1:2" ht="12.75">
      <c r="A165" s="160">
        <v>580103778</v>
      </c>
      <c r="B165" s="161">
        <v>30042.66</v>
      </c>
    </row>
    <row r="166" spans="1:2" ht="12.75">
      <c r="A166" s="160">
        <v>580106631</v>
      </c>
      <c r="B166" s="161">
        <v>2807.65</v>
      </c>
    </row>
    <row r="167" spans="1:2" ht="12.75">
      <c r="A167" s="160">
        <v>580106805</v>
      </c>
      <c r="B167" s="161">
        <v>143146.86</v>
      </c>
    </row>
    <row r="168" spans="1:2" ht="12.75">
      <c r="A168" s="160">
        <v>580109064</v>
      </c>
      <c r="B168" s="161">
        <v>7126.9</v>
      </c>
    </row>
    <row r="169" spans="1:2" ht="12.75">
      <c r="A169" s="160">
        <v>580111052</v>
      </c>
      <c r="B169" s="161">
        <v>16843.43</v>
      </c>
    </row>
    <row r="170" spans="1:2" ht="12.75">
      <c r="A170" s="160">
        <v>580112977</v>
      </c>
      <c r="B170" s="161">
        <v>13858.74</v>
      </c>
    </row>
    <row r="171" spans="1:2" ht="12.75">
      <c r="A171" s="160">
        <v>580115715</v>
      </c>
      <c r="B171" s="161">
        <v>45743.92</v>
      </c>
    </row>
    <row r="172" spans="1:2" ht="12.75">
      <c r="A172" s="160">
        <v>580115814</v>
      </c>
      <c r="B172" s="161">
        <v>231649.56</v>
      </c>
    </row>
    <row r="173" spans="1:2" ht="12.75">
      <c r="A173" s="160">
        <v>580120012</v>
      </c>
      <c r="B173" s="161">
        <v>65463.49</v>
      </c>
    </row>
    <row r="174" spans="1:2" ht="12.75">
      <c r="A174" s="160">
        <v>580120418</v>
      </c>
      <c r="B174" s="161">
        <v>244423.89</v>
      </c>
    </row>
    <row r="175" spans="1:2" ht="12.75">
      <c r="A175" s="160">
        <v>580120855</v>
      </c>
      <c r="B175" s="161">
        <v>140181.33</v>
      </c>
    </row>
    <row r="176" spans="1:2" ht="12.75">
      <c r="A176" s="160">
        <v>580122570</v>
      </c>
      <c r="B176" s="161">
        <v>97122.84</v>
      </c>
    </row>
    <row r="177" spans="1:2" ht="12.75">
      <c r="A177" s="160">
        <v>580125383</v>
      </c>
      <c r="B177" s="161">
        <v>94399.15</v>
      </c>
    </row>
    <row r="178" spans="1:2" ht="12.75">
      <c r="A178" s="160">
        <v>580128262</v>
      </c>
      <c r="B178" s="161">
        <v>170628.36</v>
      </c>
    </row>
    <row r="179" spans="1:2" ht="12.75">
      <c r="A179" s="160">
        <v>580139566</v>
      </c>
      <c r="B179" s="161">
        <v>2946.87</v>
      </c>
    </row>
    <row r="180" spans="1:2" ht="12.75">
      <c r="A180" s="160">
        <v>580143634</v>
      </c>
      <c r="B180" s="161">
        <v>456960.64</v>
      </c>
    </row>
    <row r="181" spans="1:2" ht="12.75">
      <c r="A181" s="160">
        <v>580145563</v>
      </c>
      <c r="B181" s="161">
        <v>11660.76</v>
      </c>
    </row>
    <row r="182" spans="1:2" ht="12.75">
      <c r="A182" s="160">
        <v>580156511</v>
      </c>
      <c r="B182" s="161">
        <v>43991.47</v>
      </c>
    </row>
    <row r="183" spans="1:2" ht="12.75">
      <c r="A183" s="160">
        <v>580156552</v>
      </c>
      <c r="B183" s="161">
        <v>4504.94</v>
      </c>
    </row>
    <row r="184" spans="1:2" ht="12.75">
      <c r="A184" s="160">
        <v>580159051</v>
      </c>
      <c r="B184" s="161">
        <v>2039.79</v>
      </c>
    </row>
    <row r="185" spans="1:2" ht="12.75">
      <c r="A185" s="160">
        <v>580160133</v>
      </c>
      <c r="B185" s="161">
        <v>395209.06</v>
      </c>
    </row>
    <row r="186" spans="1:2" ht="12.75">
      <c r="A186" s="160">
        <v>580161032</v>
      </c>
      <c r="B186" s="161">
        <v>196164.45</v>
      </c>
    </row>
    <row r="187" spans="1:2" ht="12.75">
      <c r="A187" s="160">
        <v>580164499</v>
      </c>
      <c r="B187" s="161">
        <v>21220</v>
      </c>
    </row>
    <row r="188" spans="1:2" ht="12.75">
      <c r="A188" s="160">
        <v>580167831</v>
      </c>
      <c r="B188" s="161">
        <v>1387.6</v>
      </c>
    </row>
    <row r="189" spans="1:2" ht="12.75">
      <c r="A189" s="160">
        <v>580168136</v>
      </c>
      <c r="B189" s="161">
        <v>36871.23</v>
      </c>
    </row>
    <row r="190" spans="1:2" ht="12.75">
      <c r="A190" s="160">
        <v>580170074</v>
      </c>
      <c r="B190" s="161">
        <v>21456.3</v>
      </c>
    </row>
    <row r="191" spans="1:2" ht="12.75">
      <c r="A191" s="160">
        <v>580171064</v>
      </c>
      <c r="B191" s="161">
        <v>55469.57</v>
      </c>
    </row>
    <row r="192" spans="1:2" ht="12.75">
      <c r="A192" s="160">
        <v>580171353</v>
      </c>
      <c r="B192" s="161">
        <v>142430.55</v>
      </c>
    </row>
    <row r="193" spans="1:2" ht="12.75">
      <c r="A193" s="160">
        <v>580173425</v>
      </c>
      <c r="B193" s="161">
        <v>69932.74</v>
      </c>
    </row>
    <row r="194" spans="1:2" ht="12.75">
      <c r="A194" s="160">
        <v>580173441</v>
      </c>
      <c r="B194" s="161">
        <v>1399.77</v>
      </c>
    </row>
    <row r="195" spans="1:2" ht="12.75">
      <c r="A195" s="160">
        <v>580173474</v>
      </c>
      <c r="B195" s="161">
        <v>80915.91</v>
      </c>
    </row>
    <row r="196" spans="1:2" ht="12.75">
      <c r="A196" s="160">
        <v>580174738</v>
      </c>
      <c r="B196" s="161">
        <v>32481.73</v>
      </c>
    </row>
    <row r="197" spans="1:2" ht="12.75">
      <c r="A197" s="160">
        <v>580179273</v>
      </c>
      <c r="B197" s="161">
        <v>2431.18</v>
      </c>
    </row>
    <row r="198" spans="1:2" ht="12.75">
      <c r="A198" s="160">
        <v>580180438</v>
      </c>
      <c r="B198" s="161">
        <v>41241.9</v>
      </c>
    </row>
    <row r="199" spans="1:2" ht="12.75">
      <c r="A199" s="160">
        <v>580181071</v>
      </c>
      <c r="B199" s="161">
        <v>158508.96</v>
      </c>
    </row>
    <row r="200" spans="1:2" ht="12.75">
      <c r="A200" s="160">
        <v>580181659</v>
      </c>
      <c r="B200" s="161">
        <v>1341910.42</v>
      </c>
    </row>
    <row r="201" spans="1:2" ht="12.75">
      <c r="A201" s="160">
        <v>580183119</v>
      </c>
      <c r="B201" s="161">
        <v>5446.2</v>
      </c>
    </row>
    <row r="202" spans="1:2" ht="12.75">
      <c r="A202" s="160">
        <v>580184828</v>
      </c>
      <c r="B202" s="161">
        <v>198795.64</v>
      </c>
    </row>
    <row r="203" spans="1:2" ht="12.75">
      <c r="A203" s="160">
        <v>580188480</v>
      </c>
      <c r="B203" s="161">
        <v>284407.99</v>
      </c>
    </row>
    <row r="204" spans="1:2" ht="12.75">
      <c r="A204" s="160">
        <v>580190775</v>
      </c>
      <c r="B204" s="161">
        <v>142099.44</v>
      </c>
    </row>
    <row r="205" spans="1:2" ht="12.75">
      <c r="A205" s="160">
        <v>580192508</v>
      </c>
      <c r="B205" s="161">
        <v>221338</v>
      </c>
    </row>
    <row r="206" spans="1:2" ht="12.75">
      <c r="A206" s="160">
        <v>580193563</v>
      </c>
      <c r="B206" s="161">
        <v>227114.7</v>
      </c>
    </row>
    <row r="207" spans="1:2" ht="12.75">
      <c r="A207" s="160">
        <v>580195626</v>
      </c>
      <c r="B207" s="161">
        <v>5079.02</v>
      </c>
    </row>
    <row r="208" spans="1:2" ht="12.75">
      <c r="A208" s="160">
        <v>580195675</v>
      </c>
      <c r="B208" s="161">
        <v>313688.73</v>
      </c>
    </row>
    <row r="209" spans="1:2" ht="12.75">
      <c r="A209" s="160">
        <v>580195808</v>
      </c>
      <c r="B209" s="161">
        <v>14289</v>
      </c>
    </row>
    <row r="210" spans="1:2" ht="12.75">
      <c r="A210" s="160">
        <v>580195873</v>
      </c>
      <c r="B210" s="161">
        <v>2942.31</v>
      </c>
    </row>
    <row r="211" spans="1:2" ht="12.75">
      <c r="A211" s="160">
        <v>580197150</v>
      </c>
      <c r="B211" s="161">
        <v>56510.34</v>
      </c>
    </row>
    <row r="212" spans="1:2" ht="12.75">
      <c r="A212" s="160">
        <v>580197317</v>
      </c>
      <c r="B212" s="161">
        <v>279953.67</v>
      </c>
    </row>
    <row r="213" spans="1:2" ht="12.75">
      <c r="A213" s="160">
        <v>580197903</v>
      </c>
      <c r="B213" s="161">
        <v>49228.56</v>
      </c>
    </row>
    <row r="214" spans="1:2" ht="12.75">
      <c r="A214" s="160">
        <v>580202513</v>
      </c>
      <c r="B214" s="161">
        <v>82294.11</v>
      </c>
    </row>
    <row r="215" spans="1:2" ht="12.75">
      <c r="A215" s="160">
        <v>580202687</v>
      </c>
      <c r="B215" s="161">
        <v>17849.15</v>
      </c>
    </row>
    <row r="216" spans="1:2" ht="12.75">
      <c r="A216" s="160">
        <v>580203107</v>
      </c>
      <c r="B216" s="161">
        <v>435899.62</v>
      </c>
    </row>
    <row r="217" spans="1:2" ht="12.75">
      <c r="A217" s="160">
        <v>580203412</v>
      </c>
      <c r="B217" s="161">
        <v>3120.99</v>
      </c>
    </row>
    <row r="218" spans="1:2" ht="12.75">
      <c r="A218" s="160">
        <v>580203800</v>
      </c>
      <c r="B218" s="161">
        <v>17525.71</v>
      </c>
    </row>
    <row r="219" spans="1:2" ht="12.75">
      <c r="A219" s="160">
        <v>580204386</v>
      </c>
      <c r="B219" s="161">
        <v>273201.02</v>
      </c>
    </row>
    <row r="220" spans="1:2" ht="12.75">
      <c r="A220" s="160">
        <v>580205052</v>
      </c>
      <c r="B220" s="161">
        <v>92107.8</v>
      </c>
    </row>
    <row r="221" spans="1:2" ht="12.75">
      <c r="A221" s="160">
        <v>580205383</v>
      </c>
      <c r="B221" s="161">
        <v>10346.59</v>
      </c>
    </row>
    <row r="222" spans="1:2" ht="12.75">
      <c r="A222" s="160">
        <v>580208536</v>
      </c>
      <c r="B222" s="161">
        <v>49228.55</v>
      </c>
    </row>
    <row r="223" spans="1:2" ht="12.75">
      <c r="A223" s="160">
        <v>580208569</v>
      </c>
      <c r="B223" s="161">
        <v>4698.23</v>
      </c>
    </row>
    <row r="224" spans="1:2" ht="12.75">
      <c r="A224" s="160">
        <v>580209450</v>
      </c>
      <c r="B224" s="161">
        <v>215332.24</v>
      </c>
    </row>
    <row r="225" spans="1:2" ht="12.75">
      <c r="A225" s="160">
        <v>580209955</v>
      </c>
      <c r="B225" s="161">
        <v>7471.36</v>
      </c>
    </row>
    <row r="226" spans="1:2" ht="12.75">
      <c r="A226" s="160">
        <v>580212827</v>
      </c>
      <c r="B226" s="161">
        <v>12256.7</v>
      </c>
    </row>
    <row r="227" spans="1:2" ht="12.75">
      <c r="A227" s="160">
        <v>580215150</v>
      </c>
      <c r="B227" s="161">
        <v>91637.38</v>
      </c>
    </row>
    <row r="228" spans="1:2" ht="12.75">
      <c r="A228" s="160">
        <v>580215861</v>
      </c>
      <c r="B228" s="161">
        <v>456844</v>
      </c>
    </row>
    <row r="229" spans="1:2" ht="12.75">
      <c r="A229" s="160">
        <v>580215978</v>
      </c>
      <c r="B229" s="161">
        <v>64066.94</v>
      </c>
    </row>
    <row r="230" spans="1:2" ht="12.75">
      <c r="A230" s="160">
        <v>580216372</v>
      </c>
      <c r="B230" s="161">
        <v>940264.99</v>
      </c>
    </row>
    <row r="231" spans="1:2" ht="12.75">
      <c r="A231" s="160">
        <v>580216943</v>
      </c>
      <c r="B231" s="161">
        <v>32635.95</v>
      </c>
    </row>
    <row r="232" spans="1:2" ht="12.75">
      <c r="A232" s="160">
        <v>580217446</v>
      </c>
      <c r="B232" s="160">
        <v>901.99</v>
      </c>
    </row>
    <row r="233" spans="1:2" ht="12.75">
      <c r="A233" s="160">
        <v>580217826</v>
      </c>
      <c r="B233" s="161">
        <v>9163.46</v>
      </c>
    </row>
    <row r="234" spans="1:2" ht="12.75">
      <c r="A234" s="160">
        <v>580218097</v>
      </c>
      <c r="B234" s="161">
        <v>7535.61</v>
      </c>
    </row>
    <row r="235" spans="1:2" ht="12.75">
      <c r="A235" s="160">
        <v>580219624</v>
      </c>
      <c r="B235" s="161">
        <v>14258.07</v>
      </c>
    </row>
    <row r="236" spans="1:2" ht="12.75">
      <c r="A236" s="160">
        <v>580220580</v>
      </c>
      <c r="B236" s="161">
        <v>212609.62</v>
      </c>
    </row>
    <row r="237" spans="1:2" ht="12.75">
      <c r="A237" s="160">
        <v>580221448</v>
      </c>
      <c r="B237" s="161">
        <v>27187.32</v>
      </c>
    </row>
    <row r="238" spans="1:2" ht="12.75">
      <c r="A238" s="160">
        <v>580221687</v>
      </c>
      <c r="B238" s="161">
        <v>111026.1</v>
      </c>
    </row>
    <row r="239" spans="1:2" ht="12.75">
      <c r="A239" s="160">
        <v>580221976</v>
      </c>
      <c r="B239" s="161">
        <v>62883.93</v>
      </c>
    </row>
    <row r="240" spans="1:2" ht="12.75">
      <c r="A240" s="160">
        <v>580223543</v>
      </c>
      <c r="B240" s="161">
        <v>7016.85</v>
      </c>
    </row>
    <row r="241" spans="1:2" ht="12.75">
      <c r="A241" s="160">
        <v>580224046</v>
      </c>
      <c r="B241" s="161">
        <v>389563.89</v>
      </c>
    </row>
    <row r="242" spans="1:2" ht="12.75">
      <c r="A242" s="160">
        <v>580226082</v>
      </c>
      <c r="B242" s="161">
        <v>58071.69</v>
      </c>
    </row>
    <row r="243" spans="1:2" ht="12.75">
      <c r="A243" s="160">
        <v>580226504</v>
      </c>
      <c r="B243" s="161">
        <v>135079.15</v>
      </c>
    </row>
    <row r="244" spans="1:2" ht="12.75">
      <c r="A244" s="160">
        <v>580226785</v>
      </c>
      <c r="B244" s="161">
        <v>120612.52</v>
      </c>
    </row>
    <row r="245" spans="1:2" ht="12.75">
      <c r="A245" s="160">
        <v>580226827</v>
      </c>
      <c r="B245" s="161">
        <v>181624.67</v>
      </c>
    </row>
    <row r="246" spans="1:2" ht="12.75">
      <c r="A246" s="160">
        <v>580226934</v>
      </c>
      <c r="B246" s="161">
        <v>73280.14</v>
      </c>
    </row>
    <row r="247" spans="1:2" ht="12.75">
      <c r="A247" s="160">
        <v>580228443</v>
      </c>
      <c r="B247" s="161">
        <v>275944.79</v>
      </c>
    </row>
    <row r="248" spans="1:2" ht="12.75">
      <c r="A248" s="160">
        <v>580230464</v>
      </c>
      <c r="B248" s="161">
        <v>38451.75</v>
      </c>
    </row>
    <row r="249" spans="1:2" ht="12.75">
      <c r="A249" s="160">
        <v>580231843</v>
      </c>
      <c r="B249" s="161">
        <v>72254.38</v>
      </c>
    </row>
    <row r="250" spans="1:2" ht="12.75">
      <c r="A250" s="160">
        <v>580233161</v>
      </c>
      <c r="B250" s="161">
        <v>163920.61</v>
      </c>
    </row>
    <row r="251" spans="1:2" ht="12.75">
      <c r="A251" s="160">
        <v>580233179</v>
      </c>
      <c r="B251" s="161">
        <v>297974.78</v>
      </c>
    </row>
    <row r="252" spans="1:2" ht="12.75">
      <c r="A252" s="160">
        <v>580233245</v>
      </c>
      <c r="B252" s="161">
        <v>19860.35</v>
      </c>
    </row>
    <row r="253" spans="1:2" ht="12.75">
      <c r="A253" s="160">
        <v>580233997</v>
      </c>
      <c r="B253" s="161">
        <v>230622.14</v>
      </c>
    </row>
    <row r="254" spans="1:2" ht="12.75">
      <c r="A254" s="160">
        <v>580234581</v>
      </c>
      <c r="B254" s="161">
        <v>37970.73</v>
      </c>
    </row>
    <row r="255" spans="1:2" ht="12.75">
      <c r="A255" s="160">
        <v>580235687</v>
      </c>
      <c r="B255" s="161">
        <v>97772.2</v>
      </c>
    </row>
    <row r="256" spans="1:2" ht="12.75">
      <c r="A256" s="160">
        <v>580235869</v>
      </c>
      <c r="B256" s="161">
        <v>119809.48</v>
      </c>
    </row>
    <row r="257" spans="1:2" ht="12.75">
      <c r="A257" s="160">
        <v>580238160</v>
      </c>
      <c r="B257" s="161">
        <v>175129.31</v>
      </c>
    </row>
    <row r="258" spans="1:2" ht="12.75">
      <c r="A258" s="160">
        <v>580238178</v>
      </c>
      <c r="B258" s="161">
        <v>64410.19</v>
      </c>
    </row>
    <row r="259" spans="1:2" ht="12.75">
      <c r="A259" s="160">
        <v>580241610</v>
      </c>
      <c r="B259" s="161">
        <v>65638.08</v>
      </c>
    </row>
    <row r="260" spans="1:2" ht="12.75">
      <c r="A260" s="160">
        <v>580241644</v>
      </c>
      <c r="B260" s="161">
        <v>96573.75</v>
      </c>
    </row>
    <row r="261" spans="1:2" ht="12.75">
      <c r="A261" s="160">
        <v>580245348</v>
      </c>
      <c r="B261" s="161">
        <v>54788.07</v>
      </c>
    </row>
    <row r="262" spans="1:2" ht="12.75">
      <c r="A262" s="160">
        <v>580245553</v>
      </c>
      <c r="B262" s="161">
        <v>6648.36</v>
      </c>
    </row>
    <row r="263" spans="1:2" ht="12.75">
      <c r="A263" s="160">
        <v>580245561</v>
      </c>
      <c r="B263" s="161">
        <v>26629.47</v>
      </c>
    </row>
    <row r="264" spans="1:2" ht="12.75">
      <c r="A264" s="160">
        <v>580245736</v>
      </c>
      <c r="B264" s="161">
        <v>64069.77</v>
      </c>
    </row>
    <row r="265" spans="1:2" ht="12.75">
      <c r="A265" s="160">
        <v>580246783</v>
      </c>
      <c r="B265" s="161">
        <v>17863.89</v>
      </c>
    </row>
    <row r="266" spans="1:2" ht="12.75">
      <c r="A266" s="160">
        <v>580247724</v>
      </c>
      <c r="B266" s="161">
        <v>41316.03</v>
      </c>
    </row>
    <row r="267" spans="1:2" ht="12.75">
      <c r="A267" s="160">
        <v>580248342</v>
      </c>
      <c r="B267" s="161">
        <v>110635.66</v>
      </c>
    </row>
    <row r="268" spans="1:2" ht="12.75">
      <c r="A268" s="160">
        <v>580250660</v>
      </c>
      <c r="B268" s="161">
        <v>5100.77</v>
      </c>
    </row>
    <row r="269" spans="1:2" ht="12.75">
      <c r="A269" s="160">
        <v>580250942</v>
      </c>
      <c r="B269" s="161">
        <v>269709.62</v>
      </c>
    </row>
    <row r="270" spans="1:2" ht="12.75">
      <c r="A270" s="160">
        <v>580251296</v>
      </c>
      <c r="B270" s="161">
        <v>572951.47</v>
      </c>
    </row>
    <row r="271" spans="1:2" ht="12.75">
      <c r="A271" s="160">
        <v>580251791</v>
      </c>
      <c r="B271" s="161">
        <v>190106</v>
      </c>
    </row>
    <row r="272" spans="1:2" ht="12.75">
      <c r="A272" s="160">
        <v>580251957</v>
      </c>
      <c r="B272" s="161">
        <v>50500.05</v>
      </c>
    </row>
    <row r="273" spans="1:2" ht="12.75">
      <c r="A273" s="160">
        <v>580252740</v>
      </c>
      <c r="B273" s="161">
        <v>300782.96</v>
      </c>
    </row>
    <row r="274" spans="1:2" ht="12.75">
      <c r="A274" s="160">
        <v>580253367</v>
      </c>
      <c r="B274" s="161">
        <v>34520.94</v>
      </c>
    </row>
    <row r="275" spans="1:2" ht="12.75">
      <c r="A275" s="160">
        <v>580253375</v>
      </c>
      <c r="B275" s="161">
        <v>13931.45</v>
      </c>
    </row>
    <row r="276" spans="1:2" ht="12.75">
      <c r="A276" s="160">
        <v>580253532</v>
      </c>
      <c r="B276" s="161">
        <v>4236.78</v>
      </c>
    </row>
    <row r="277" spans="1:2" ht="12.75">
      <c r="A277" s="160">
        <v>580253714</v>
      </c>
      <c r="B277" s="161">
        <v>57161.78</v>
      </c>
    </row>
    <row r="278" spans="1:2" ht="12.75">
      <c r="A278" s="160">
        <v>580253904</v>
      </c>
      <c r="B278" s="161">
        <v>5237.49</v>
      </c>
    </row>
    <row r="279" spans="1:2" ht="12.75">
      <c r="A279" s="160">
        <v>580254019</v>
      </c>
      <c r="B279" s="161">
        <v>33630.07</v>
      </c>
    </row>
    <row r="280" spans="1:2" ht="12.75">
      <c r="A280" s="160">
        <v>580254357</v>
      </c>
      <c r="B280" s="161">
        <v>141869.93</v>
      </c>
    </row>
    <row r="281" spans="1:2" ht="12.75">
      <c r="A281" s="160">
        <v>580255107</v>
      </c>
      <c r="B281" s="161">
        <v>60690.04</v>
      </c>
    </row>
    <row r="282" spans="1:2" ht="12.75">
      <c r="A282" s="160">
        <v>580255149</v>
      </c>
      <c r="B282" s="161">
        <v>10577.92</v>
      </c>
    </row>
    <row r="283" spans="1:2" ht="12.75">
      <c r="A283" s="160">
        <v>580255842</v>
      </c>
      <c r="B283" s="161">
        <v>16957.73</v>
      </c>
    </row>
    <row r="284" spans="1:2" ht="12.75">
      <c r="A284" s="160">
        <v>580258085</v>
      </c>
      <c r="B284" s="161">
        <v>80538.4</v>
      </c>
    </row>
    <row r="285" spans="1:2" ht="12.75">
      <c r="A285" s="160">
        <v>580258119</v>
      </c>
      <c r="B285" s="161">
        <v>3846.78</v>
      </c>
    </row>
    <row r="286" spans="1:2" ht="12.75">
      <c r="A286" s="160">
        <v>580258952</v>
      </c>
      <c r="B286" s="161">
        <v>49486.88</v>
      </c>
    </row>
    <row r="287" spans="1:2" ht="12.75">
      <c r="A287" s="160">
        <v>580259075</v>
      </c>
      <c r="B287" s="161">
        <v>62805.84</v>
      </c>
    </row>
    <row r="288" spans="1:2" ht="12.75">
      <c r="A288" s="160">
        <v>580259109</v>
      </c>
      <c r="B288" s="161">
        <v>511912.12</v>
      </c>
    </row>
    <row r="289" spans="1:2" ht="12.75">
      <c r="A289" s="160">
        <v>580262251</v>
      </c>
      <c r="B289" s="161">
        <v>238152.72</v>
      </c>
    </row>
    <row r="290" spans="1:2" ht="12.75">
      <c r="A290" s="160">
        <v>580262582</v>
      </c>
      <c r="B290" s="161">
        <v>39405.19</v>
      </c>
    </row>
    <row r="291" spans="1:2" ht="12.75">
      <c r="A291" s="160">
        <v>580264851</v>
      </c>
      <c r="B291" s="161">
        <v>56377.63</v>
      </c>
    </row>
    <row r="292" spans="1:2" ht="12.75">
      <c r="A292" s="160">
        <v>580266492</v>
      </c>
      <c r="B292" s="161">
        <v>10467.64</v>
      </c>
    </row>
    <row r="293" spans="1:2" ht="12.75">
      <c r="A293" s="160">
        <v>580266500</v>
      </c>
      <c r="B293" s="161">
        <v>132079.17</v>
      </c>
    </row>
    <row r="294" spans="1:2" ht="12.75">
      <c r="A294" s="160">
        <v>580267334</v>
      </c>
      <c r="B294" s="161">
        <v>113120.92</v>
      </c>
    </row>
    <row r="295" spans="1:2" ht="12.75">
      <c r="A295" s="160">
        <v>580270544</v>
      </c>
      <c r="B295" s="161">
        <v>9867.83</v>
      </c>
    </row>
    <row r="296" spans="1:2" ht="12.75">
      <c r="A296" s="160">
        <v>580271013</v>
      </c>
      <c r="B296" s="161">
        <v>22401.14</v>
      </c>
    </row>
    <row r="297" spans="1:2" ht="12.75">
      <c r="A297" s="160">
        <v>580272128</v>
      </c>
      <c r="B297" s="161">
        <v>16120.44</v>
      </c>
    </row>
    <row r="298" spans="1:2" ht="12.75">
      <c r="A298" s="160">
        <v>580272177</v>
      </c>
      <c r="B298" s="161">
        <v>63779.64</v>
      </c>
    </row>
    <row r="299" spans="1:2" ht="12.75">
      <c r="A299" s="160">
        <v>580273696</v>
      </c>
      <c r="B299" s="161">
        <v>159032.67</v>
      </c>
    </row>
    <row r="300" spans="1:2" ht="12.75">
      <c r="A300" s="160">
        <v>580274173</v>
      </c>
      <c r="B300" s="161">
        <v>1187629.69</v>
      </c>
    </row>
    <row r="301" spans="1:2" ht="12.75">
      <c r="A301" s="160">
        <v>580274629</v>
      </c>
      <c r="B301" s="161">
        <v>169402.34</v>
      </c>
    </row>
    <row r="302" spans="1:2" ht="12.75">
      <c r="A302" s="160">
        <v>580275675</v>
      </c>
      <c r="B302" s="161">
        <v>8238.58</v>
      </c>
    </row>
    <row r="303" spans="1:2" ht="12.75">
      <c r="A303" s="160">
        <v>580278315</v>
      </c>
      <c r="B303" s="161">
        <v>45438.8</v>
      </c>
    </row>
    <row r="304" spans="1:2" ht="12.75">
      <c r="A304" s="160">
        <v>580278463</v>
      </c>
      <c r="B304" s="161">
        <v>637857.86</v>
      </c>
    </row>
    <row r="305" spans="1:2" ht="12.75">
      <c r="A305" s="160">
        <v>580279388</v>
      </c>
      <c r="B305" s="161">
        <v>71714.46</v>
      </c>
    </row>
    <row r="306" spans="1:2" ht="12.75">
      <c r="A306" s="160">
        <v>580279875</v>
      </c>
      <c r="B306" s="161">
        <v>23741.43</v>
      </c>
    </row>
    <row r="307" spans="1:2" ht="12.75">
      <c r="A307" s="160">
        <v>580280204</v>
      </c>
      <c r="B307" s="161">
        <v>232338.99</v>
      </c>
    </row>
    <row r="308" spans="1:2" ht="12.75">
      <c r="A308" s="160">
        <v>580280899</v>
      </c>
      <c r="B308" s="161">
        <v>13922.2</v>
      </c>
    </row>
    <row r="309" spans="1:2" ht="12.75">
      <c r="A309" s="160">
        <v>580283323</v>
      </c>
      <c r="B309" s="161">
        <v>101043.78</v>
      </c>
    </row>
    <row r="310" spans="1:2" ht="12.75">
      <c r="A310" s="160">
        <v>580283950</v>
      </c>
      <c r="B310" s="161">
        <v>104392.46</v>
      </c>
    </row>
    <row r="311" spans="1:2" ht="12.75">
      <c r="A311" s="160">
        <v>580284719</v>
      </c>
      <c r="B311" s="161">
        <v>56684.36</v>
      </c>
    </row>
    <row r="312" spans="1:2" ht="12.75">
      <c r="A312" s="160">
        <v>580284933</v>
      </c>
      <c r="B312" s="161">
        <v>175082.67</v>
      </c>
    </row>
    <row r="313" spans="1:2" ht="12.75">
      <c r="A313" s="160">
        <v>580290112</v>
      </c>
      <c r="B313" s="161">
        <v>163396.9</v>
      </c>
    </row>
    <row r="314" spans="1:2" ht="12.75">
      <c r="A314" s="160">
        <v>580290948</v>
      </c>
      <c r="B314" s="161">
        <v>191677.13</v>
      </c>
    </row>
    <row r="315" spans="1:2" ht="12.75">
      <c r="A315" s="160">
        <v>580291730</v>
      </c>
      <c r="B315" s="161">
        <v>31067.63</v>
      </c>
    </row>
    <row r="316" spans="1:2" ht="12.75">
      <c r="A316" s="160">
        <v>580292134</v>
      </c>
      <c r="B316" s="161">
        <v>236890.58</v>
      </c>
    </row>
    <row r="317" spans="1:2" ht="12.75">
      <c r="A317" s="160">
        <v>580293348</v>
      </c>
      <c r="B317" s="161">
        <v>25397.02</v>
      </c>
    </row>
    <row r="318" spans="1:2" ht="12.75">
      <c r="A318" s="160">
        <v>580294247</v>
      </c>
      <c r="B318" s="161">
        <v>160080.09</v>
      </c>
    </row>
    <row r="319" spans="1:2" ht="12.75">
      <c r="A319" s="160">
        <v>580295129</v>
      </c>
      <c r="B319" s="161">
        <v>81698.45</v>
      </c>
    </row>
    <row r="320" spans="1:2" ht="12.75">
      <c r="A320" s="160">
        <v>580295251</v>
      </c>
      <c r="B320" s="161">
        <v>90645.3</v>
      </c>
    </row>
    <row r="321" spans="1:2" ht="12.75">
      <c r="A321" s="160">
        <v>580295731</v>
      </c>
      <c r="B321" s="161">
        <v>257282.18</v>
      </c>
    </row>
    <row r="322" spans="1:2" ht="12.75">
      <c r="A322" s="160">
        <v>580297638</v>
      </c>
      <c r="B322" s="161">
        <v>49136.22</v>
      </c>
    </row>
    <row r="323" spans="1:2" ht="12.75">
      <c r="A323" s="160">
        <v>580297984</v>
      </c>
      <c r="B323" s="161">
        <v>230161.16</v>
      </c>
    </row>
    <row r="324" spans="1:2" ht="12.75">
      <c r="A324" s="160">
        <v>580299485</v>
      </c>
      <c r="B324" s="161">
        <v>165902.97</v>
      </c>
    </row>
    <row r="325" spans="1:2" ht="12.75">
      <c r="A325" s="160">
        <v>580299493</v>
      </c>
      <c r="B325" s="161">
        <v>665739.91</v>
      </c>
    </row>
    <row r="326" spans="1:2" ht="12.75">
      <c r="A326" s="160">
        <v>580301745</v>
      </c>
      <c r="B326" s="161">
        <v>71675.81</v>
      </c>
    </row>
    <row r="327" spans="1:2" ht="12.75">
      <c r="A327" s="160">
        <v>580301794</v>
      </c>
      <c r="B327" s="161">
        <v>66510.91</v>
      </c>
    </row>
    <row r="328" spans="1:2" ht="12.75">
      <c r="A328" s="160">
        <v>580302081</v>
      </c>
      <c r="B328" s="161">
        <v>171665.6</v>
      </c>
    </row>
    <row r="329" spans="1:2" ht="12.75">
      <c r="A329" s="160">
        <v>580302891</v>
      </c>
      <c r="B329" s="161">
        <v>56560.47</v>
      </c>
    </row>
    <row r="330" spans="1:2" ht="12.75">
      <c r="A330" s="160">
        <v>580304244</v>
      </c>
      <c r="B330" s="161">
        <v>32819.03</v>
      </c>
    </row>
    <row r="331" spans="1:2" ht="12.75">
      <c r="A331" s="160">
        <v>580304681</v>
      </c>
      <c r="B331" s="161">
        <v>2745.72</v>
      </c>
    </row>
    <row r="332" spans="1:2" ht="12.75">
      <c r="A332" s="160">
        <v>580305266</v>
      </c>
      <c r="B332" s="161">
        <v>449984.84</v>
      </c>
    </row>
    <row r="333" spans="1:2" ht="12.75">
      <c r="A333" s="160">
        <v>580307411</v>
      </c>
      <c r="B333" s="161">
        <v>399774.75</v>
      </c>
    </row>
    <row r="334" spans="1:2" ht="12.75">
      <c r="A334" s="160">
        <v>580308062</v>
      </c>
      <c r="B334" s="161">
        <v>128517.43</v>
      </c>
    </row>
    <row r="335" spans="1:2" ht="12.75">
      <c r="A335" s="160">
        <v>580308427</v>
      </c>
      <c r="B335" s="161">
        <v>130994.17</v>
      </c>
    </row>
    <row r="336" spans="1:2" ht="12.75">
      <c r="A336" s="160">
        <v>580309417</v>
      </c>
      <c r="B336" s="161">
        <v>62239.56</v>
      </c>
    </row>
    <row r="337" spans="1:2" ht="12.75">
      <c r="A337" s="160">
        <v>580309680</v>
      </c>
      <c r="B337" s="161">
        <v>104230.96</v>
      </c>
    </row>
    <row r="338" spans="1:2" ht="12.75">
      <c r="A338" s="160">
        <v>580310266</v>
      </c>
      <c r="B338" s="161">
        <v>412763.2</v>
      </c>
    </row>
    <row r="339" spans="1:2" ht="12.75">
      <c r="A339" s="160">
        <v>580310373</v>
      </c>
      <c r="B339" s="161">
        <v>165630.2</v>
      </c>
    </row>
    <row r="340" spans="1:2" ht="12.75">
      <c r="A340" s="160">
        <v>580310639</v>
      </c>
      <c r="B340" s="161">
        <v>223274.19</v>
      </c>
    </row>
    <row r="341" spans="1:2" ht="12.75">
      <c r="A341" s="160">
        <v>580310969</v>
      </c>
      <c r="B341" s="161">
        <v>2807.45</v>
      </c>
    </row>
    <row r="342" spans="1:2" ht="12.75">
      <c r="A342" s="160">
        <v>580311181</v>
      </c>
      <c r="B342" s="161">
        <v>93913.31</v>
      </c>
    </row>
    <row r="343" spans="1:2" ht="12.75">
      <c r="A343" s="160">
        <v>580313039</v>
      </c>
      <c r="B343" s="161">
        <v>15494.73</v>
      </c>
    </row>
    <row r="344" spans="1:2" ht="12.75">
      <c r="A344" s="160">
        <v>580314581</v>
      </c>
      <c r="B344" s="161">
        <v>212741.53</v>
      </c>
    </row>
    <row r="345" spans="1:2" ht="12.75">
      <c r="A345" s="160">
        <v>580314748</v>
      </c>
      <c r="B345" s="161">
        <v>264332.46</v>
      </c>
    </row>
    <row r="346" spans="1:2" ht="12.75">
      <c r="A346" s="160">
        <v>580314912</v>
      </c>
      <c r="B346" s="161">
        <v>173161.48</v>
      </c>
    </row>
    <row r="347" spans="1:2" ht="12.75">
      <c r="A347" s="160">
        <v>580315141</v>
      </c>
      <c r="B347" s="161">
        <v>27457.24</v>
      </c>
    </row>
    <row r="348" spans="1:2" ht="12.75">
      <c r="A348" s="160">
        <v>580315893</v>
      </c>
      <c r="B348" s="161">
        <v>39025.56</v>
      </c>
    </row>
    <row r="349" spans="1:2" ht="12.75">
      <c r="A349" s="160">
        <v>580315901</v>
      </c>
      <c r="B349" s="161">
        <v>53924.02</v>
      </c>
    </row>
    <row r="350" spans="1:2" ht="12.75">
      <c r="A350" s="160">
        <v>580315927</v>
      </c>
      <c r="B350" s="161">
        <v>27455.78</v>
      </c>
    </row>
    <row r="351" spans="1:2" ht="12.75">
      <c r="A351" s="160">
        <v>580315935</v>
      </c>
      <c r="B351" s="161">
        <v>196432.56</v>
      </c>
    </row>
    <row r="352" spans="1:2" ht="12.75">
      <c r="A352" s="160">
        <v>580315976</v>
      </c>
      <c r="B352" s="161">
        <v>34465.76</v>
      </c>
    </row>
    <row r="353" spans="1:2" ht="12.75">
      <c r="A353" s="160">
        <v>580315984</v>
      </c>
      <c r="B353" s="161">
        <v>678800.17</v>
      </c>
    </row>
    <row r="354" spans="1:2" ht="12.75">
      <c r="A354" s="160">
        <v>580315992</v>
      </c>
      <c r="B354" s="161">
        <v>77885.64</v>
      </c>
    </row>
    <row r="355" spans="1:2" ht="12.75">
      <c r="A355" s="160">
        <v>580316065</v>
      </c>
      <c r="B355" s="161">
        <v>246665.4</v>
      </c>
    </row>
    <row r="356" spans="1:2" ht="12.75">
      <c r="A356" s="160">
        <v>580317584</v>
      </c>
      <c r="B356" s="161">
        <v>71956.61</v>
      </c>
    </row>
    <row r="357" spans="1:2" ht="12.75">
      <c r="A357" s="160">
        <v>580317709</v>
      </c>
      <c r="B357" s="161">
        <v>26763.62</v>
      </c>
    </row>
    <row r="358" spans="1:2" ht="12.75">
      <c r="A358" s="160">
        <v>580318830</v>
      </c>
      <c r="B358" s="161">
        <v>43816.91</v>
      </c>
    </row>
    <row r="359" spans="1:2" ht="12.75">
      <c r="A359" s="160">
        <v>580320141</v>
      </c>
      <c r="B359" s="161">
        <v>72167.74</v>
      </c>
    </row>
    <row r="360" spans="1:2" ht="12.75">
      <c r="A360" s="160">
        <v>580320232</v>
      </c>
      <c r="B360" s="161">
        <v>18628.6</v>
      </c>
    </row>
    <row r="361" spans="1:2" ht="12.75">
      <c r="A361" s="160">
        <v>580321347</v>
      </c>
      <c r="B361" s="161">
        <v>62694.48</v>
      </c>
    </row>
    <row r="362" spans="1:2" ht="12.75">
      <c r="A362" s="160">
        <v>580321552</v>
      </c>
      <c r="B362" s="161">
        <v>120278.28</v>
      </c>
    </row>
    <row r="363" spans="1:2" ht="12.75">
      <c r="A363" s="160">
        <v>580322741</v>
      </c>
      <c r="B363" s="161">
        <v>11725.04</v>
      </c>
    </row>
    <row r="364" spans="1:2" ht="12.75">
      <c r="A364" s="160">
        <v>580324127</v>
      </c>
      <c r="B364" s="161">
        <v>130839.13</v>
      </c>
    </row>
    <row r="365" spans="1:2" ht="12.75">
      <c r="A365" s="160">
        <v>580324192</v>
      </c>
      <c r="B365" s="161">
        <v>256791.5</v>
      </c>
    </row>
    <row r="366" spans="1:2" ht="12.75">
      <c r="A366" s="160">
        <v>580325439</v>
      </c>
      <c r="B366" s="161">
        <v>13206.56</v>
      </c>
    </row>
    <row r="367" spans="1:2" ht="12.75">
      <c r="A367" s="160">
        <v>580328599</v>
      </c>
      <c r="B367" s="161">
        <v>144097.08</v>
      </c>
    </row>
    <row r="368" spans="1:2" ht="12.75">
      <c r="A368" s="160">
        <v>580329167</v>
      </c>
      <c r="B368" s="161">
        <v>19771.18</v>
      </c>
    </row>
    <row r="369" spans="1:2" ht="12.75">
      <c r="A369" s="160">
        <v>580329274</v>
      </c>
      <c r="B369" s="161">
        <v>217500.95</v>
      </c>
    </row>
    <row r="370" spans="1:2" ht="12.75">
      <c r="A370" s="160">
        <v>580329290</v>
      </c>
      <c r="B370" s="161">
        <v>47882.28</v>
      </c>
    </row>
    <row r="371" spans="1:2" ht="12.75">
      <c r="A371" s="160">
        <v>580329316</v>
      </c>
      <c r="B371" s="161">
        <v>41793.15</v>
      </c>
    </row>
    <row r="372" spans="1:2" ht="12.75">
      <c r="A372" s="160">
        <v>580329423</v>
      </c>
      <c r="B372" s="161">
        <v>37678.67</v>
      </c>
    </row>
    <row r="373" spans="1:2" ht="12.75">
      <c r="A373" s="160">
        <v>580330165</v>
      </c>
      <c r="B373" s="161">
        <v>1114.64</v>
      </c>
    </row>
    <row r="374" spans="1:2" ht="12.75">
      <c r="A374" s="160">
        <v>580330447</v>
      </c>
      <c r="B374" s="161">
        <v>185299.49</v>
      </c>
    </row>
    <row r="375" spans="1:2" ht="12.75">
      <c r="A375" s="160">
        <v>580330603</v>
      </c>
      <c r="B375" s="161">
        <v>11207.04</v>
      </c>
    </row>
    <row r="376" spans="1:2" ht="12.75">
      <c r="A376" s="160">
        <v>580331239</v>
      </c>
      <c r="B376" s="161">
        <v>10677.82</v>
      </c>
    </row>
    <row r="377" spans="1:2" ht="12.75">
      <c r="A377" s="160">
        <v>580331270</v>
      </c>
      <c r="B377" s="161">
        <v>7195.44</v>
      </c>
    </row>
    <row r="378" spans="1:2" ht="12.75">
      <c r="A378" s="160">
        <v>580331379</v>
      </c>
      <c r="B378" s="161">
        <v>38538.21</v>
      </c>
    </row>
    <row r="379" spans="1:2" ht="12.75">
      <c r="A379" s="160">
        <v>580331510</v>
      </c>
      <c r="B379" s="161">
        <v>156408.44</v>
      </c>
    </row>
    <row r="380" spans="1:2" ht="12.75">
      <c r="A380" s="160">
        <v>580332153</v>
      </c>
      <c r="B380" s="161">
        <v>49228.55</v>
      </c>
    </row>
    <row r="381" spans="1:2" ht="12.75">
      <c r="A381" s="160">
        <v>580332757</v>
      </c>
      <c r="B381" s="161">
        <v>5190.31</v>
      </c>
    </row>
    <row r="382" spans="1:2" ht="12.75">
      <c r="A382" s="160">
        <v>580332799</v>
      </c>
      <c r="B382" s="161">
        <v>18069.55</v>
      </c>
    </row>
    <row r="383" spans="1:2" ht="12.75">
      <c r="A383" s="160">
        <v>580333045</v>
      </c>
      <c r="B383" s="161">
        <v>355252.39</v>
      </c>
    </row>
    <row r="384" spans="1:2" ht="12.75">
      <c r="A384" s="160">
        <v>580333243</v>
      </c>
      <c r="B384" s="161">
        <v>18170.08</v>
      </c>
    </row>
    <row r="385" spans="1:2" ht="12.75">
      <c r="A385" s="160">
        <v>580334696</v>
      </c>
      <c r="B385" s="161">
        <v>34344.07</v>
      </c>
    </row>
    <row r="386" spans="1:2" ht="12.75">
      <c r="A386" s="160">
        <v>580334738</v>
      </c>
      <c r="B386" s="161">
        <v>1128501.78</v>
      </c>
    </row>
    <row r="387" spans="1:2" ht="12.75">
      <c r="A387" s="160">
        <v>580336154</v>
      </c>
      <c r="B387" s="161">
        <v>132762.81</v>
      </c>
    </row>
    <row r="388" spans="1:2" ht="12.75">
      <c r="A388" s="160">
        <v>580336303</v>
      </c>
      <c r="B388" s="161">
        <v>42473.83</v>
      </c>
    </row>
    <row r="389" spans="1:2" ht="12.75">
      <c r="A389" s="160">
        <v>580337343</v>
      </c>
      <c r="B389" s="161">
        <v>12401.06</v>
      </c>
    </row>
    <row r="390" spans="1:2" ht="12.75">
      <c r="A390" s="160">
        <v>580342822</v>
      </c>
      <c r="B390" s="161">
        <v>214029.81</v>
      </c>
    </row>
    <row r="391" spans="1:2" ht="12.75">
      <c r="A391" s="160">
        <v>580343614</v>
      </c>
      <c r="B391" s="161">
        <v>54231.55</v>
      </c>
    </row>
    <row r="392" spans="1:2" ht="12.75">
      <c r="A392" s="160">
        <v>580343697</v>
      </c>
      <c r="B392" s="161">
        <v>37706.97</v>
      </c>
    </row>
    <row r="393" spans="1:2" ht="12.75">
      <c r="A393" s="160">
        <v>580344646</v>
      </c>
      <c r="B393" s="161">
        <v>30858.68</v>
      </c>
    </row>
    <row r="394" spans="1:2" ht="12.75">
      <c r="A394" s="160">
        <v>580344802</v>
      </c>
      <c r="B394" s="161">
        <v>277041.53</v>
      </c>
    </row>
    <row r="395" spans="1:2" ht="12.75">
      <c r="A395" s="160">
        <v>580345940</v>
      </c>
      <c r="B395" s="161">
        <v>327666.64</v>
      </c>
    </row>
    <row r="396" spans="1:2" ht="12.75">
      <c r="A396" s="160">
        <v>580345973</v>
      </c>
      <c r="B396" s="161">
        <v>198294</v>
      </c>
    </row>
    <row r="397" spans="1:2" ht="12.75">
      <c r="A397" s="160">
        <v>580346476</v>
      </c>
      <c r="B397" s="161">
        <v>417904.37</v>
      </c>
    </row>
    <row r="398" spans="1:2" ht="12.75">
      <c r="A398" s="160">
        <v>580346542</v>
      </c>
      <c r="B398" s="160">
        <v>660.12</v>
      </c>
    </row>
    <row r="399" spans="1:2" ht="12.75">
      <c r="A399" s="160">
        <v>580346716</v>
      </c>
      <c r="B399" s="161">
        <v>11425.8</v>
      </c>
    </row>
    <row r="400" spans="1:2" ht="12.75">
      <c r="A400" s="160">
        <v>580347425</v>
      </c>
      <c r="B400" s="161">
        <v>25137.98</v>
      </c>
    </row>
    <row r="401" spans="1:2" ht="12.75">
      <c r="A401" s="160">
        <v>580347532</v>
      </c>
      <c r="B401" s="161">
        <v>281056.62</v>
      </c>
    </row>
    <row r="402" spans="1:2" ht="12.75">
      <c r="A402" s="160">
        <v>580348480</v>
      </c>
      <c r="B402" s="161">
        <v>87284.66</v>
      </c>
    </row>
    <row r="403" spans="1:2" ht="12.75">
      <c r="A403" s="160">
        <v>580348589</v>
      </c>
      <c r="B403" s="161">
        <v>14136.43</v>
      </c>
    </row>
    <row r="404" spans="1:2" ht="12.75">
      <c r="A404" s="160">
        <v>580348886</v>
      </c>
      <c r="B404" s="161">
        <v>3437.54</v>
      </c>
    </row>
    <row r="405" spans="1:2" ht="12.75">
      <c r="A405" s="160">
        <v>580348944</v>
      </c>
      <c r="B405" s="161">
        <v>35612.14</v>
      </c>
    </row>
    <row r="406" spans="1:2" ht="12.75">
      <c r="A406" s="160">
        <v>580349355</v>
      </c>
      <c r="B406" s="161">
        <v>405082.44</v>
      </c>
    </row>
    <row r="407" spans="1:2" ht="12.75">
      <c r="A407" s="160">
        <v>580350080</v>
      </c>
      <c r="B407" s="161">
        <v>65638.08</v>
      </c>
    </row>
    <row r="408" spans="1:2" ht="12.75">
      <c r="A408" s="160">
        <v>580350759</v>
      </c>
      <c r="B408" s="161">
        <v>290755.4</v>
      </c>
    </row>
    <row r="409" spans="1:2" ht="12.75">
      <c r="A409" s="160">
        <v>580351021</v>
      </c>
      <c r="B409" s="161">
        <v>336631.51</v>
      </c>
    </row>
    <row r="410" spans="1:2" ht="12.75">
      <c r="A410" s="160">
        <v>580351716</v>
      </c>
      <c r="B410" s="161">
        <v>38230.68</v>
      </c>
    </row>
    <row r="411" spans="1:2" ht="12.75">
      <c r="A411" s="160">
        <v>580352441</v>
      </c>
      <c r="B411" s="161">
        <v>54640.2</v>
      </c>
    </row>
    <row r="412" spans="1:2" ht="12.75">
      <c r="A412" s="160">
        <v>580352540</v>
      </c>
      <c r="B412" s="161">
        <v>501106.74</v>
      </c>
    </row>
    <row r="413" spans="1:2" ht="12.75">
      <c r="A413" s="160">
        <v>580352771</v>
      </c>
      <c r="B413" s="161">
        <v>171665.6</v>
      </c>
    </row>
    <row r="414" spans="1:2" ht="12.75">
      <c r="A414" s="160">
        <v>580352797</v>
      </c>
      <c r="B414" s="161">
        <v>59337.4</v>
      </c>
    </row>
    <row r="415" spans="1:2" ht="12.75">
      <c r="A415" s="160">
        <v>580353076</v>
      </c>
      <c r="B415" s="161">
        <v>189479.49</v>
      </c>
    </row>
    <row r="416" spans="1:2" ht="12.75">
      <c r="A416" s="160">
        <v>580353233</v>
      </c>
      <c r="B416" s="161">
        <v>145878.81</v>
      </c>
    </row>
    <row r="417" spans="1:2" ht="12.75">
      <c r="A417" s="160">
        <v>580353357</v>
      </c>
      <c r="B417" s="161">
        <v>73038.23</v>
      </c>
    </row>
    <row r="418" spans="1:2" ht="12.75">
      <c r="A418" s="160">
        <v>580353373</v>
      </c>
      <c r="B418" s="161">
        <v>201669.18</v>
      </c>
    </row>
    <row r="419" spans="1:2" ht="12.75">
      <c r="A419" s="160">
        <v>580353381</v>
      </c>
      <c r="B419" s="161">
        <v>430483.18</v>
      </c>
    </row>
    <row r="420" spans="1:2" ht="12.75">
      <c r="A420" s="160">
        <v>580353431</v>
      </c>
      <c r="B420" s="161">
        <v>34520.94</v>
      </c>
    </row>
    <row r="421" spans="1:2" ht="12.75">
      <c r="A421" s="160">
        <v>580353670</v>
      </c>
      <c r="B421" s="161">
        <v>70823.6</v>
      </c>
    </row>
    <row r="422" spans="1:2" ht="12.75">
      <c r="A422" s="160">
        <v>580354546</v>
      </c>
      <c r="B422" s="161">
        <v>113585.02</v>
      </c>
    </row>
    <row r="423" spans="1:2" ht="12.75">
      <c r="A423" s="160">
        <v>580354991</v>
      </c>
      <c r="B423" s="161">
        <v>640819.59</v>
      </c>
    </row>
    <row r="424" spans="1:2" ht="12.75">
      <c r="A424" s="160">
        <v>580355014</v>
      </c>
      <c r="B424" s="161">
        <v>92347.18</v>
      </c>
    </row>
    <row r="425" spans="1:2" ht="12.75">
      <c r="A425" s="160">
        <v>580355030</v>
      </c>
      <c r="B425" s="161">
        <v>125689.92</v>
      </c>
    </row>
    <row r="426" spans="1:2" ht="12.75">
      <c r="A426" s="160">
        <v>580355048</v>
      </c>
      <c r="B426" s="161">
        <v>60051.85</v>
      </c>
    </row>
    <row r="427" spans="1:2" ht="12.75">
      <c r="A427" s="160">
        <v>580355055</v>
      </c>
      <c r="B427" s="161">
        <v>20935.28</v>
      </c>
    </row>
    <row r="428" spans="1:2" ht="12.75">
      <c r="A428" s="160">
        <v>580355782</v>
      </c>
      <c r="B428" s="161">
        <v>65638.08</v>
      </c>
    </row>
    <row r="429" spans="1:2" ht="12.75">
      <c r="A429" s="160">
        <v>580356178</v>
      </c>
      <c r="B429" s="161">
        <v>85264.57</v>
      </c>
    </row>
    <row r="430" spans="1:2" ht="12.75">
      <c r="A430" s="160">
        <v>580356988</v>
      </c>
      <c r="B430" s="161">
        <v>162524.39</v>
      </c>
    </row>
    <row r="431" spans="1:2" ht="12.75">
      <c r="A431" s="160">
        <v>580357119</v>
      </c>
      <c r="B431" s="161">
        <v>243017.16</v>
      </c>
    </row>
    <row r="432" spans="1:2" ht="12.75">
      <c r="A432" s="160">
        <v>580357358</v>
      </c>
      <c r="B432" s="161">
        <v>567585.39</v>
      </c>
    </row>
    <row r="433" spans="1:2" ht="12.75">
      <c r="A433" s="160">
        <v>580358588</v>
      </c>
      <c r="B433" s="161">
        <v>23042.2</v>
      </c>
    </row>
    <row r="434" spans="1:2" ht="12.75">
      <c r="A434" s="160">
        <v>580359826</v>
      </c>
      <c r="B434" s="161">
        <v>73171.47</v>
      </c>
    </row>
    <row r="435" spans="1:2" ht="12.75">
      <c r="A435" s="160">
        <v>580360360</v>
      </c>
      <c r="B435" s="161">
        <v>6416.16</v>
      </c>
    </row>
    <row r="436" spans="1:2" ht="12.75">
      <c r="A436" s="160">
        <v>580360568</v>
      </c>
      <c r="B436" s="161">
        <v>139399.3</v>
      </c>
    </row>
    <row r="437" spans="1:2" ht="12.75">
      <c r="A437" s="160">
        <v>580360584</v>
      </c>
      <c r="B437" s="161">
        <v>161736.95</v>
      </c>
    </row>
    <row r="438" spans="1:2" ht="12.75">
      <c r="A438" s="160">
        <v>580361178</v>
      </c>
      <c r="B438" s="161">
        <v>4097.71</v>
      </c>
    </row>
    <row r="439" spans="1:2" ht="12.75">
      <c r="A439" s="160">
        <v>580361350</v>
      </c>
      <c r="B439" s="161">
        <v>131625.29</v>
      </c>
    </row>
    <row r="440" spans="1:2" ht="12.75">
      <c r="A440" s="160">
        <v>580361897</v>
      </c>
      <c r="B440" s="161">
        <v>28926.6</v>
      </c>
    </row>
    <row r="441" spans="1:2" ht="12.75">
      <c r="A441" s="160">
        <v>580364156</v>
      </c>
      <c r="B441" s="161">
        <v>6499.6</v>
      </c>
    </row>
    <row r="442" spans="1:2" ht="12.75">
      <c r="A442" s="160">
        <v>580364297</v>
      </c>
      <c r="B442" s="161">
        <v>13207.08</v>
      </c>
    </row>
    <row r="443" spans="1:2" ht="12.75">
      <c r="A443" s="160">
        <v>580364727</v>
      </c>
      <c r="B443" s="161">
        <v>411917.8</v>
      </c>
    </row>
    <row r="444" spans="1:2" ht="12.75">
      <c r="A444" s="160">
        <v>580364875</v>
      </c>
      <c r="B444" s="161">
        <v>134602.86</v>
      </c>
    </row>
    <row r="445" spans="1:2" ht="12.75">
      <c r="A445" s="160">
        <v>580364958</v>
      </c>
      <c r="B445" s="161">
        <v>108462.56</v>
      </c>
    </row>
    <row r="446" spans="1:2" ht="12.75">
      <c r="A446" s="160">
        <v>580364966</v>
      </c>
      <c r="B446" s="161">
        <v>12226.04</v>
      </c>
    </row>
    <row r="447" spans="1:2" ht="12.75">
      <c r="A447" s="160">
        <v>580364982</v>
      </c>
      <c r="B447" s="161">
        <v>17483.19</v>
      </c>
    </row>
    <row r="448" spans="1:2" ht="12.75">
      <c r="A448" s="160">
        <v>580366946</v>
      </c>
      <c r="B448" s="161">
        <v>74665.03</v>
      </c>
    </row>
    <row r="449" spans="1:2" ht="12.75">
      <c r="A449" s="160">
        <v>580367142</v>
      </c>
      <c r="B449" s="161">
        <v>17424.17</v>
      </c>
    </row>
    <row r="450" spans="1:2" ht="12.75">
      <c r="A450" s="160">
        <v>580367167</v>
      </c>
      <c r="B450" s="161">
        <v>58081.91</v>
      </c>
    </row>
    <row r="451" spans="1:2" ht="12.75">
      <c r="A451" s="160">
        <v>580368009</v>
      </c>
      <c r="B451" s="161">
        <v>5534.61</v>
      </c>
    </row>
    <row r="452" spans="1:2" ht="12.75">
      <c r="A452" s="160">
        <v>580368504</v>
      </c>
      <c r="B452" s="161">
        <v>4775.44</v>
      </c>
    </row>
    <row r="453" spans="1:2" ht="12.75">
      <c r="A453" s="160">
        <v>580368546</v>
      </c>
      <c r="B453" s="161">
        <v>258477.05</v>
      </c>
    </row>
    <row r="454" spans="1:2" ht="12.75">
      <c r="A454" s="160">
        <v>580369015</v>
      </c>
      <c r="B454" s="161">
        <v>17579.66</v>
      </c>
    </row>
    <row r="455" spans="1:2" ht="12.75">
      <c r="A455" s="160">
        <v>580370203</v>
      </c>
      <c r="B455" s="161">
        <v>199219.22</v>
      </c>
    </row>
    <row r="456" spans="1:2" ht="12.75">
      <c r="A456" s="160">
        <v>580370930</v>
      </c>
      <c r="B456" s="161">
        <v>163920.61</v>
      </c>
    </row>
    <row r="457" spans="1:2" ht="12.75">
      <c r="A457" s="160">
        <v>580371037</v>
      </c>
      <c r="B457" s="161">
        <v>18189.07</v>
      </c>
    </row>
    <row r="458" spans="1:2" ht="12.75">
      <c r="A458" s="160">
        <v>580371250</v>
      </c>
      <c r="B458" s="161">
        <v>120103.7</v>
      </c>
    </row>
    <row r="459" spans="1:2" ht="12.75">
      <c r="A459" s="160">
        <v>580372035</v>
      </c>
      <c r="B459" s="161">
        <v>2705.97</v>
      </c>
    </row>
    <row r="460" spans="1:2" ht="12.75">
      <c r="A460" s="160">
        <v>580373215</v>
      </c>
      <c r="B460" s="161">
        <v>56660.34</v>
      </c>
    </row>
    <row r="461" spans="1:2" ht="12.75">
      <c r="A461" s="160">
        <v>580373744</v>
      </c>
      <c r="B461" s="161">
        <v>73162.12</v>
      </c>
    </row>
    <row r="462" spans="1:2" ht="12.75">
      <c r="A462" s="160">
        <v>580374445</v>
      </c>
      <c r="B462" s="161">
        <v>144222.7</v>
      </c>
    </row>
    <row r="463" spans="1:2" ht="12.75">
      <c r="A463" s="160">
        <v>580374452</v>
      </c>
      <c r="B463" s="161">
        <v>4081.26</v>
      </c>
    </row>
    <row r="464" spans="1:2" ht="12.75">
      <c r="A464" s="160">
        <v>580375103</v>
      </c>
      <c r="B464" s="161">
        <v>14438.9</v>
      </c>
    </row>
    <row r="465" spans="1:2" ht="12.75">
      <c r="A465" s="160">
        <v>580375111</v>
      </c>
      <c r="B465" s="161">
        <v>16592.64</v>
      </c>
    </row>
    <row r="466" spans="1:2" ht="12.75">
      <c r="A466" s="160">
        <v>580375681</v>
      </c>
      <c r="B466" s="161">
        <v>305860.44</v>
      </c>
    </row>
    <row r="467" spans="1:2" ht="12.75">
      <c r="A467" s="160">
        <v>580376283</v>
      </c>
      <c r="B467" s="161">
        <v>34878.77</v>
      </c>
    </row>
    <row r="468" spans="1:2" ht="12.75">
      <c r="A468" s="160">
        <v>580376911</v>
      </c>
      <c r="B468" s="161">
        <v>58041.72</v>
      </c>
    </row>
    <row r="469" spans="1:2" ht="12.75">
      <c r="A469" s="160">
        <v>580377059</v>
      </c>
      <c r="B469" s="161">
        <v>417034.48</v>
      </c>
    </row>
    <row r="470" spans="1:2" ht="12.75">
      <c r="A470" s="160">
        <v>580377794</v>
      </c>
      <c r="B470" s="161">
        <v>213695.74</v>
      </c>
    </row>
    <row r="471" spans="1:2" ht="12.75">
      <c r="A471" s="160">
        <v>580377968</v>
      </c>
      <c r="B471" s="161">
        <v>4428.63</v>
      </c>
    </row>
    <row r="472" spans="1:2" ht="12.75">
      <c r="A472" s="160">
        <v>580378024</v>
      </c>
      <c r="B472" s="161">
        <v>17587.56</v>
      </c>
    </row>
    <row r="473" spans="1:2" ht="12.75">
      <c r="A473" s="160">
        <v>580378610</v>
      </c>
      <c r="B473" s="161">
        <v>100444.8</v>
      </c>
    </row>
    <row r="474" spans="1:2" ht="12.75">
      <c r="A474" s="160">
        <v>580379261</v>
      </c>
      <c r="B474" s="161">
        <v>15526.55</v>
      </c>
    </row>
    <row r="475" spans="1:2" ht="12.75">
      <c r="A475" s="160">
        <v>580379352</v>
      </c>
      <c r="B475" s="161">
        <v>4347.4</v>
      </c>
    </row>
    <row r="476" spans="1:2" ht="12.75">
      <c r="A476" s="160">
        <v>580379485</v>
      </c>
      <c r="B476" s="161">
        <v>18232.36</v>
      </c>
    </row>
    <row r="477" spans="1:2" ht="12.75">
      <c r="A477" s="160">
        <v>580380038</v>
      </c>
      <c r="B477" s="161">
        <v>10742.07</v>
      </c>
    </row>
    <row r="478" spans="1:2" ht="12.75">
      <c r="A478" s="160">
        <v>580380244</v>
      </c>
      <c r="B478" s="161">
        <v>109928.91</v>
      </c>
    </row>
    <row r="479" spans="1:2" ht="12.75">
      <c r="A479" s="160">
        <v>580380780</v>
      </c>
      <c r="B479" s="161">
        <v>33089.83</v>
      </c>
    </row>
    <row r="480" spans="1:2" ht="12.75">
      <c r="A480" s="160">
        <v>580380855</v>
      </c>
      <c r="B480" s="161">
        <v>79254.48</v>
      </c>
    </row>
    <row r="481" spans="1:2" ht="12.75">
      <c r="A481" s="160">
        <v>580381440</v>
      </c>
      <c r="B481" s="161">
        <v>11585.94</v>
      </c>
    </row>
    <row r="482" spans="1:2" ht="12.75">
      <c r="A482" s="160">
        <v>580382307</v>
      </c>
      <c r="B482" s="161">
        <v>29287.12</v>
      </c>
    </row>
    <row r="483" spans="1:2" ht="12.75">
      <c r="A483" s="160">
        <v>580382315</v>
      </c>
      <c r="B483" s="161">
        <v>11425.8</v>
      </c>
    </row>
    <row r="484" spans="1:2" ht="12.75">
      <c r="A484" s="160">
        <v>580382406</v>
      </c>
      <c r="B484" s="161">
        <v>60166.5</v>
      </c>
    </row>
    <row r="485" spans="1:2" ht="12.75">
      <c r="A485" s="160">
        <v>580382463</v>
      </c>
      <c r="B485" s="161">
        <v>171077.95</v>
      </c>
    </row>
    <row r="486" spans="1:2" ht="12.75">
      <c r="A486" s="160">
        <v>580384204</v>
      </c>
      <c r="B486" s="161">
        <v>89448.47</v>
      </c>
    </row>
    <row r="487" spans="1:2" ht="12.75">
      <c r="A487" s="160">
        <v>580384816</v>
      </c>
      <c r="B487" s="161">
        <v>80957.17</v>
      </c>
    </row>
    <row r="488" spans="1:2" ht="12.75">
      <c r="A488" s="160">
        <v>580384881</v>
      </c>
      <c r="B488" s="161">
        <v>154668.42</v>
      </c>
    </row>
    <row r="489" spans="1:2" ht="12.75">
      <c r="A489" s="160">
        <v>580386092</v>
      </c>
      <c r="B489" s="161">
        <v>142538.08</v>
      </c>
    </row>
    <row r="490" spans="1:2" ht="12.75">
      <c r="A490" s="160">
        <v>580386316</v>
      </c>
      <c r="B490" s="161">
        <v>5553.06</v>
      </c>
    </row>
    <row r="491" spans="1:2" ht="12.75">
      <c r="A491" s="160">
        <v>580386456</v>
      </c>
      <c r="B491" s="161">
        <v>307284.91</v>
      </c>
    </row>
    <row r="492" spans="1:2" ht="12.75">
      <c r="A492" s="160">
        <v>580386639</v>
      </c>
      <c r="B492" s="161">
        <v>3622.07</v>
      </c>
    </row>
    <row r="493" spans="1:2" ht="12.75">
      <c r="A493" s="160">
        <v>580387504</v>
      </c>
      <c r="B493" s="161">
        <v>269709.62</v>
      </c>
    </row>
    <row r="494" spans="1:2" ht="12.75">
      <c r="A494" s="160">
        <v>580388205</v>
      </c>
      <c r="B494" s="161">
        <v>22783.67</v>
      </c>
    </row>
    <row r="495" spans="1:2" ht="12.75">
      <c r="A495" s="160">
        <v>580388536</v>
      </c>
      <c r="B495" s="161">
        <v>220230.34</v>
      </c>
    </row>
    <row r="496" spans="1:2" ht="12.75">
      <c r="A496" s="160">
        <v>580388817</v>
      </c>
      <c r="B496" s="161">
        <v>3424.37</v>
      </c>
    </row>
    <row r="497" spans="1:2" ht="12.75">
      <c r="A497" s="160">
        <v>580391845</v>
      </c>
      <c r="B497" s="161">
        <v>49961.05</v>
      </c>
    </row>
    <row r="498" spans="1:2" ht="12.75">
      <c r="A498" s="160">
        <v>580393502</v>
      </c>
      <c r="B498" s="161">
        <v>64142.13</v>
      </c>
    </row>
    <row r="499" spans="1:2" ht="12.75">
      <c r="A499" s="160">
        <v>580394278</v>
      </c>
      <c r="B499" s="161">
        <v>803447</v>
      </c>
    </row>
    <row r="500" spans="1:2" ht="12.75">
      <c r="A500" s="160">
        <v>580395044</v>
      </c>
      <c r="B500" s="161">
        <v>5084</v>
      </c>
    </row>
    <row r="501" spans="1:2" ht="12.75">
      <c r="A501" s="160">
        <v>580395366</v>
      </c>
      <c r="B501" s="161">
        <v>50275.97</v>
      </c>
    </row>
    <row r="502" spans="1:2" ht="12.75">
      <c r="A502" s="160">
        <v>580395465</v>
      </c>
      <c r="B502" s="161">
        <v>234408.32</v>
      </c>
    </row>
    <row r="503" spans="1:2" ht="12.75">
      <c r="A503" s="160">
        <v>580395523</v>
      </c>
      <c r="B503" s="161">
        <v>115064.96</v>
      </c>
    </row>
    <row r="504" spans="1:2" ht="12.75">
      <c r="A504" s="160">
        <v>580395853</v>
      </c>
      <c r="B504" s="161">
        <v>4011.55</v>
      </c>
    </row>
    <row r="505" spans="1:2" ht="12.75">
      <c r="A505" s="160">
        <v>580396059</v>
      </c>
      <c r="B505" s="161">
        <v>87459.24</v>
      </c>
    </row>
    <row r="506" spans="1:2" ht="12.75">
      <c r="A506" s="160">
        <v>580396141</v>
      </c>
      <c r="B506" s="161">
        <v>3194.01</v>
      </c>
    </row>
    <row r="507" spans="1:2" ht="12.75">
      <c r="A507" s="160">
        <v>580396836</v>
      </c>
      <c r="B507" s="161">
        <v>19982.59</v>
      </c>
    </row>
    <row r="508" spans="1:2" ht="12.75">
      <c r="A508" s="160">
        <v>580397107</v>
      </c>
      <c r="B508" s="161">
        <v>79254.48</v>
      </c>
    </row>
    <row r="509" spans="1:2" ht="12.75">
      <c r="A509" s="160">
        <v>580397545</v>
      </c>
      <c r="B509" s="161">
        <v>16409.52</v>
      </c>
    </row>
    <row r="510" spans="1:2" ht="12.75">
      <c r="A510" s="160">
        <v>580398642</v>
      </c>
      <c r="B510" s="161">
        <v>80177.66</v>
      </c>
    </row>
    <row r="511" spans="1:2" ht="12.75">
      <c r="A511" s="160">
        <v>580398782</v>
      </c>
      <c r="B511" s="161">
        <v>91981.6</v>
      </c>
    </row>
    <row r="512" spans="1:2" ht="12.75">
      <c r="A512" s="160">
        <v>580399111</v>
      </c>
      <c r="B512" s="161">
        <v>32819.03</v>
      </c>
    </row>
    <row r="513" spans="1:2" ht="12.75">
      <c r="A513" s="160">
        <v>580399285</v>
      </c>
      <c r="B513" s="161">
        <v>3650.32</v>
      </c>
    </row>
    <row r="514" spans="1:2" ht="12.75">
      <c r="A514" s="160">
        <v>580399731</v>
      </c>
      <c r="B514" s="161">
        <v>2210.16</v>
      </c>
    </row>
    <row r="515" spans="1:2" ht="12.75">
      <c r="A515" s="160">
        <v>580401206</v>
      </c>
      <c r="B515" s="161">
        <v>30668.63</v>
      </c>
    </row>
    <row r="516" spans="1:2" ht="12.75">
      <c r="A516" s="160">
        <v>580401339</v>
      </c>
      <c r="B516" s="161">
        <v>190106</v>
      </c>
    </row>
    <row r="517" spans="1:2" ht="12.75">
      <c r="A517" s="160">
        <v>580401818</v>
      </c>
      <c r="B517" s="161">
        <v>457227.83</v>
      </c>
    </row>
    <row r="518" spans="1:2" ht="12.75">
      <c r="A518" s="160">
        <v>580402048</v>
      </c>
      <c r="B518" s="161">
        <v>263496.65</v>
      </c>
    </row>
    <row r="519" spans="1:2" ht="12.75">
      <c r="A519" s="160">
        <v>580402709</v>
      </c>
      <c r="B519" s="161">
        <v>191328</v>
      </c>
    </row>
    <row r="520" spans="1:2" ht="12.75">
      <c r="A520" s="160">
        <v>580402808</v>
      </c>
      <c r="B520" s="161">
        <v>114698.59</v>
      </c>
    </row>
    <row r="521" spans="1:2" ht="12.75">
      <c r="A521" s="160">
        <v>580403178</v>
      </c>
      <c r="B521" s="161">
        <v>16968.1</v>
      </c>
    </row>
    <row r="522" spans="1:2" ht="12.75">
      <c r="A522" s="160">
        <v>580403491</v>
      </c>
      <c r="B522" s="161">
        <v>4705.95</v>
      </c>
    </row>
    <row r="523" spans="1:2" ht="12.75">
      <c r="A523" s="160">
        <v>580403590</v>
      </c>
      <c r="B523" s="161">
        <v>329507.94</v>
      </c>
    </row>
    <row r="524" spans="1:2" ht="12.75">
      <c r="A524" s="160">
        <v>580404069</v>
      </c>
      <c r="B524" s="161">
        <v>189273.79</v>
      </c>
    </row>
    <row r="525" spans="1:2" ht="12.75">
      <c r="A525" s="160">
        <v>580404598</v>
      </c>
      <c r="B525" s="161">
        <v>34342.2</v>
      </c>
    </row>
    <row r="526" spans="1:2" ht="12.75">
      <c r="A526" s="160">
        <v>580404796</v>
      </c>
      <c r="B526" s="161">
        <v>55122.15</v>
      </c>
    </row>
    <row r="527" spans="1:2" ht="12.75">
      <c r="A527" s="160">
        <v>580405074</v>
      </c>
      <c r="B527" s="161">
        <v>4862.35</v>
      </c>
    </row>
    <row r="528" spans="1:2" ht="12.75">
      <c r="A528" s="160">
        <v>580405157</v>
      </c>
      <c r="B528" s="161">
        <v>21297.46</v>
      </c>
    </row>
    <row r="529" spans="1:2" ht="12.75">
      <c r="A529" s="160">
        <v>580406437</v>
      </c>
      <c r="B529" s="161">
        <v>174918.48</v>
      </c>
    </row>
    <row r="530" spans="1:2" ht="12.75">
      <c r="A530" s="160">
        <v>580406817</v>
      </c>
      <c r="B530" s="161">
        <v>110132.93</v>
      </c>
    </row>
    <row r="531" spans="1:2" ht="12.75">
      <c r="A531" s="160">
        <v>580407054</v>
      </c>
      <c r="B531" s="161">
        <v>22355.11</v>
      </c>
    </row>
    <row r="532" spans="1:2" ht="12.75">
      <c r="A532" s="160">
        <v>580407773</v>
      </c>
      <c r="B532" s="161">
        <v>64066.94</v>
      </c>
    </row>
    <row r="533" spans="1:2" ht="12.75">
      <c r="A533" s="160">
        <v>580407880</v>
      </c>
      <c r="B533" s="161">
        <v>245374.66</v>
      </c>
    </row>
    <row r="534" spans="1:2" ht="12.75">
      <c r="A534" s="160">
        <v>580408607</v>
      </c>
      <c r="B534" s="161">
        <v>164095.19</v>
      </c>
    </row>
    <row r="535" spans="1:2" ht="12.75">
      <c r="A535" s="160">
        <v>580408847</v>
      </c>
      <c r="B535" s="161">
        <v>144765.22</v>
      </c>
    </row>
    <row r="536" spans="1:2" ht="12.75">
      <c r="A536" s="160">
        <v>580409605</v>
      </c>
      <c r="B536" s="161">
        <v>28517.1</v>
      </c>
    </row>
    <row r="537" spans="1:2" ht="12.75">
      <c r="A537" s="160">
        <v>580410108</v>
      </c>
      <c r="B537" s="161">
        <v>62151.21</v>
      </c>
    </row>
    <row r="538" spans="1:2" ht="12.75">
      <c r="A538" s="160">
        <v>580410611</v>
      </c>
      <c r="B538" s="161">
        <v>32819.03</v>
      </c>
    </row>
    <row r="539" spans="1:2" ht="12.75">
      <c r="A539" s="160">
        <v>580410694</v>
      </c>
      <c r="B539" s="161">
        <v>52118.64</v>
      </c>
    </row>
    <row r="540" spans="1:2" ht="12.75">
      <c r="A540" s="160">
        <v>580410991</v>
      </c>
      <c r="B540" s="161">
        <v>59687.81</v>
      </c>
    </row>
    <row r="541" spans="1:2" ht="12.75">
      <c r="A541" s="160">
        <v>580411726</v>
      </c>
      <c r="B541" s="161">
        <v>10116.28</v>
      </c>
    </row>
    <row r="542" spans="1:2" ht="12.75">
      <c r="A542" s="160">
        <v>580411858</v>
      </c>
      <c r="B542" s="161">
        <v>196435.28</v>
      </c>
    </row>
    <row r="543" spans="1:2" ht="12.75">
      <c r="A543" s="160">
        <v>580411908</v>
      </c>
      <c r="B543" s="161">
        <v>115739.47</v>
      </c>
    </row>
    <row r="544" spans="1:2" ht="12.75">
      <c r="A544" s="160">
        <v>580411973</v>
      </c>
      <c r="B544" s="161">
        <v>14169.96</v>
      </c>
    </row>
    <row r="545" spans="1:2" ht="12.75">
      <c r="A545" s="160">
        <v>580412898</v>
      </c>
      <c r="B545" s="161">
        <v>24650.71</v>
      </c>
    </row>
    <row r="546" spans="1:2" ht="12.75">
      <c r="A546" s="160">
        <v>580413961</v>
      </c>
      <c r="B546" s="161">
        <v>216116.84</v>
      </c>
    </row>
    <row r="547" spans="1:2" ht="12.75">
      <c r="A547" s="160">
        <v>580413995</v>
      </c>
      <c r="B547" s="161">
        <v>110851.52</v>
      </c>
    </row>
    <row r="548" spans="1:2" ht="12.75">
      <c r="A548" s="160">
        <v>580414118</v>
      </c>
      <c r="B548" s="161">
        <v>39627.24</v>
      </c>
    </row>
    <row r="549" spans="1:2" ht="12.75">
      <c r="A549" s="160">
        <v>580414266</v>
      </c>
      <c r="B549" s="161">
        <v>292664.7</v>
      </c>
    </row>
    <row r="550" spans="1:2" ht="12.75">
      <c r="A550" s="160">
        <v>580414613</v>
      </c>
      <c r="B550" s="161">
        <v>221705.18</v>
      </c>
    </row>
    <row r="551" spans="1:2" ht="12.75">
      <c r="A551" s="160">
        <v>580414803</v>
      </c>
      <c r="B551" s="161">
        <v>69129.45</v>
      </c>
    </row>
    <row r="552" spans="1:2" ht="12.75">
      <c r="A552" s="160">
        <v>580415040</v>
      </c>
      <c r="B552" s="161">
        <v>294847.6</v>
      </c>
    </row>
    <row r="553" spans="1:2" ht="12.75">
      <c r="A553" s="160">
        <v>580416634</v>
      </c>
      <c r="B553" s="161">
        <v>5189.59</v>
      </c>
    </row>
    <row r="554" spans="1:2" ht="12.75">
      <c r="A554" s="160">
        <v>580416824</v>
      </c>
      <c r="B554" s="161">
        <v>778486.4</v>
      </c>
    </row>
    <row r="555" spans="1:2" ht="12.75">
      <c r="A555" s="160">
        <v>580417020</v>
      </c>
      <c r="B555" s="161">
        <v>87110.1</v>
      </c>
    </row>
    <row r="556" spans="1:2" ht="12.75">
      <c r="A556" s="160">
        <v>580417509</v>
      </c>
      <c r="B556" s="161">
        <v>1345007.67</v>
      </c>
    </row>
    <row r="557" spans="1:2" ht="12.75">
      <c r="A557" s="160">
        <v>580417608</v>
      </c>
      <c r="B557" s="161">
        <v>130926.98</v>
      </c>
    </row>
    <row r="558" spans="1:2" ht="12.75">
      <c r="A558" s="160">
        <v>580417681</v>
      </c>
      <c r="B558" s="161">
        <v>147686.15</v>
      </c>
    </row>
    <row r="559" spans="1:2" ht="12.75">
      <c r="A559" s="160">
        <v>580417715</v>
      </c>
      <c r="B559" s="161">
        <v>116123.11</v>
      </c>
    </row>
    <row r="560" spans="1:2" ht="12.75">
      <c r="A560" s="160">
        <v>580418226</v>
      </c>
      <c r="B560" s="161">
        <v>58908.31</v>
      </c>
    </row>
    <row r="561" spans="1:2" ht="12.75">
      <c r="A561" s="160">
        <v>580418663</v>
      </c>
      <c r="B561" s="161">
        <v>202337.25</v>
      </c>
    </row>
    <row r="562" spans="1:2" ht="12.75">
      <c r="A562" s="160">
        <v>580418689</v>
      </c>
      <c r="B562" s="161">
        <v>34855.01</v>
      </c>
    </row>
    <row r="563" spans="1:2" ht="12.75">
      <c r="A563" s="160">
        <v>580418820</v>
      </c>
      <c r="B563" s="161">
        <v>109280.4</v>
      </c>
    </row>
    <row r="564" spans="1:2" ht="12.75">
      <c r="A564" s="160">
        <v>580418853</v>
      </c>
      <c r="B564" s="161">
        <v>177329.12</v>
      </c>
    </row>
    <row r="565" spans="1:2" ht="12.75">
      <c r="A565" s="160">
        <v>580418960</v>
      </c>
      <c r="B565" s="161">
        <v>1007639.48</v>
      </c>
    </row>
    <row r="566" spans="1:2" ht="12.75">
      <c r="A566" s="160">
        <v>580419216</v>
      </c>
      <c r="B566" s="161">
        <v>58824.21</v>
      </c>
    </row>
    <row r="567" spans="1:2" ht="12.75">
      <c r="A567" s="160">
        <v>580419307</v>
      </c>
      <c r="B567" s="161">
        <v>58323.24</v>
      </c>
    </row>
    <row r="568" spans="1:2" ht="12.75">
      <c r="A568" s="160">
        <v>580419315</v>
      </c>
      <c r="B568" s="161">
        <v>283544.15</v>
      </c>
    </row>
    <row r="569" spans="1:2" ht="12.75">
      <c r="A569" s="160">
        <v>580419810</v>
      </c>
      <c r="B569" s="161">
        <v>163979.9</v>
      </c>
    </row>
    <row r="570" spans="1:2" ht="12.75">
      <c r="A570" s="160">
        <v>580419950</v>
      </c>
      <c r="B570" s="161">
        <v>131101.57</v>
      </c>
    </row>
    <row r="571" spans="1:2" ht="12.75">
      <c r="A571" s="160">
        <v>580420347</v>
      </c>
      <c r="B571" s="161">
        <v>439445.29</v>
      </c>
    </row>
    <row r="572" spans="1:2" ht="12.75">
      <c r="A572" s="160">
        <v>580420768</v>
      </c>
      <c r="B572" s="161">
        <v>204379.2</v>
      </c>
    </row>
    <row r="573" spans="1:2" ht="12.75">
      <c r="A573" s="160">
        <v>580420883</v>
      </c>
      <c r="B573" s="161">
        <v>115032.68</v>
      </c>
    </row>
    <row r="574" spans="1:2" ht="12.75">
      <c r="A574" s="160">
        <v>580421105</v>
      </c>
      <c r="B574" s="161">
        <v>257375.78</v>
      </c>
    </row>
    <row r="575" spans="1:2" ht="12.75">
      <c r="A575" s="160">
        <v>580421402</v>
      </c>
      <c r="B575" s="161">
        <v>13235.65</v>
      </c>
    </row>
    <row r="576" spans="1:2" ht="12.75">
      <c r="A576" s="160">
        <v>580421915</v>
      </c>
      <c r="B576" s="161">
        <v>1087552.86</v>
      </c>
    </row>
    <row r="577" spans="1:2" ht="12.75">
      <c r="A577" s="160">
        <v>580422129</v>
      </c>
      <c r="B577" s="161">
        <v>43169.61</v>
      </c>
    </row>
    <row r="578" spans="1:2" ht="12.75">
      <c r="A578" s="160">
        <v>580422277</v>
      </c>
      <c r="B578" s="161">
        <v>91981.6</v>
      </c>
    </row>
    <row r="579" spans="1:2" ht="12.75">
      <c r="A579" s="160">
        <v>580422962</v>
      </c>
      <c r="B579" s="161">
        <v>47688.87</v>
      </c>
    </row>
    <row r="580" spans="1:2" ht="12.75">
      <c r="A580" s="160">
        <v>580423069</v>
      </c>
      <c r="B580" s="161">
        <v>184694.36</v>
      </c>
    </row>
    <row r="581" spans="1:2" ht="12.75">
      <c r="A581" s="160">
        <v>580424406</v>
      </c>
      <c r="B581" s="161">
        <v>52171.87</v>
      </c>
    </row>
    <row r="582" spans="1:2" ht="12.75">
      <c r="A582" s="160">
        <v>580424638</v>
      </c>
      <c r="B582" s="161">
        <v>679635.92</v>
      </c>
    </row>
    <row r="583" spans="1:2" ht="12.75">
      <c r="A583" s="160">
        <v>580428878</v>
      </c>
      <c r="B583" s="161">
        <v>69129.45</v>
      </c>
    </row>
    <row r="584" spans="1:2" ht="12.75">
      <c r="A584" s="160">
        <v>580430072</v>
      </c>
      <c r="B584" s="161">
        <v>211178.13</v>
      </c>
    </row>
    <row r="585" spans="1:2" ht="12.75">
      <c r="A585" s="160">
        <v>580430296</v>
      </c>
      <c r="B585" s="161">
        <v>313879.37</v>
      </c>
    </row>
    <row r="586" spans="1:2" ht="12.75">
      <c r="A586" s="160">
        <v>580430643</v>
      </c>
      <c r="B586" s="161">
        <v>189352.52</v>
      </c>
    </row>
    <row r="587" spans="1:2" ht="12.75">
      <c r="A587" s="160">
        <v>580430734</v>
      </c>
      <c r="B587" s="161">
        <v>4669.04</v>
      </c>
    </row>
    <row r="588" spans="1:2" ht="12.75">
      <c r="A588" s="160">
        <v>580431393</v>
      </c>
      <c r="B588" s="161">
        <v>313026.95</v>
      </c>
    </row>
    <row r="589" spans="1:2" ht="12.75">
      <c r="A589" s="160">
        <v>580431559</v>
      </c>
      <c r="B589" s="161">
        <v>21427.18</v>
      </c>
    </row>
    <row r="590" spans="1:2" ht="12.75">
      <c r="A590" s="160">
        <v>580431898</v>
      </c>
      <c r="B590" s="161">
        <v>159556.38</v>
      </c>
    </row>
    <row r="591" spans="1:2" ht="12.75">
      <c r="A591" s="160">
        <v>580431955</v>
      </c>
      <c r="B591" s="161">
        <v>158508.96</v>
      </c>
    </row>
    <row r="592" spans="1:2" ht="12.75">
      <c r="A592" s="160">
        <v>580432169</v>
      </c>
      <c r="B592" s="161">
        <v>97953.78</v>
      </c>
    </row>
    <row r="593" spans="1:2" ht="12.75">
      <c r="A593" s="160">
        <v>580432755</v>
      </c>
      <c r="B593" s="161">
        <v>200929.3</v>
      </c>
    </row>
    <row r="594" spans="1:2" ht="12.75">
      <c r="A594" s="160">
        <v>580433134</v>
      </c>
      <c r="B594" s="161">
        <v>79254.48</v>
      </c>
    </row>
    <row r="595" spans="1:2" ht="12.75">
      <c r="A595" s="160">
        <v>580433316</v>
      </c>
      <c r="B595" s="161">
        <v>604396.81</v>
      </c>
    </row>
    <row r="596" spans="1:2" ht="12.75">
      <c r="A596" s="160">
        <v>580433449</v>
      </c>
      <c r="B596" s="161">
        <v>60226.43</v>
      </c>
    </row>
    <row r="597" spans="1:2" ht="12.75">
      <c r="A597" s="160">
        <v>580433589</v>
      </c>
      <c r="B597" s="161">
        <v>166256.64</v>
      </c>
    </row>
    <row r="598" spans="1:2" ht="12.75">
      <c r="A598" s="160">
        <v>580434025</v>
      </c>
      <c r="B598" s="161">
        <v>3757</v>
      </c>
    </row>
    <row r="599" spans="1:2" ht="12.75">
      <c r="A599" s="160">
        <v>580434041</v>
      </c>
      <c r="B599" s="161">
        <v>63368.66</v>
      </c>
    </row>
    <row r="600" spans="1:2" ht="12.75">
      <c r="A600" s="160">
        <v>580435014</v>
      </c>
      <c r="B600" s="161">
        <v>193428.62</v>
      </c>
    </row>
    <row r="601" spans="1:2" ht="12.75">
      <c r="A601" s="160">
        <v>580435105</v>
      </c>
      <c r="B601" s="161">
        <v>215942.26</v>
      </c>
    </row>
    <row r="602" spans="1:2" ht="12.75">
      <c r="A602" s="160">
        <v>580435980</v>
      </c>
      <c r="B602" s="161">
        <v>166190.01</v>
      </c>
    </row>
    <row r="603" spans="1:2" ht="12.75">
      <c r="A603" s="160">
        <v>580436061</v>
      </c>
      <c r="B603" s="161">
        <v>39098.15</v>
      </c>
    </row>
    <row r="604" spans="1:2" ht="12.75">
      <c r="A604" s="160">
        <v>580438422</v>
      </c>
      <c r="B604" s="161">
        <v>163920.61</v>
      </c>
    </row>
    <row r="605" spans="1:2" ht="12.75">
      <c r="A605" s="160">
        <v>580438448</v>
      </c>
      <c r="B605" s="161">
        <v>130500.36</v>
      </c>
    </row>
    <row r="606" spans="1:2" ht="12.75">
      <c r="A606" s="160">
        <v>580438745</v>
      </c>
      <c r="B606" s="161">
        <v>207039.22</v>
      </c>
    </row>
    <row r="607" spans="1:2" ht="12.75">
      <c r="A607" s="160">
        <v>580438935</v>
      </c>
      <c r="B607" s="161">
        <v>451667.51</v>
      </c>
    </row>
    <row r="608" spans="1:2" ht="12.75">
      <c r="A608" s="160">
        <v>580439354</v>
      </c>
      <c r="B608" s="161">
        <v>70154.64</v>
      </c>
    </row>
    <row r="609" spans="1:2" ht="12.75">
      <c r="A609" s="160">
        <v>580439412</v>
      </c>
      <c r="B609" s="161">
        <v>180155.53</v>
      </c>
    </row>
    <row r="610" spans="1:2" ht="12.75">
      <c r="A610" s="160">
        <v>580439453</v>
      </c>
      <c r="B610" s="161">
        <v>157112.39</v>
      </c>
    </row>
    <row r="611" spans="1:2" ht="12.75">
      <c r="A611" s="160">
        <v>580439826</v>
      </c>
      <c r="B611" s="161">
        <v>10847.2</v>
      </c>
    </row>
    <row r="612" spans="1:2" ht="12.75">
      <c r="A612" s="160">
        <v>580439917</v>
      </c>
      <c r="B612" s="161">
        <v>81349.31</v>
      </c>
    </row>
    <row r="613" spans="1:2" ht="12.75">
      <c r="A613" s="160">
        <v>580441186</v>
      </c>
      <c r="B613" s="161">
        <v>1149.28</v>
      </c>
    </row>
    <row r="614" spans="1:2" ht="12.75">
      <c r="A614" s="160">
        <v>580441772</v>
      </c>
      <c r="B614" s="161">
        <v>91823.47</v>
      </c>
    </row>
    <row r="615" spans="1:2" ht="12.75">
      <c r="A615" s="160">
        <v>580441921</v>
      </c>
      <c r="B615" s="161">
        <v>62805.84</v>
      </c>
    </row>
    <row r="616" spans="1:2" ht="12.75">
      <c r="A616" s="160">
        <v>580442077</v>
      </c>
      <c r="B616" s="161">
        <v>79677.55</v>
      </c>
    </row>
    <row r="617" spans="1:2" ht="12.75">
      <c r="A617" s="160">
        <v>580442085</v>
      </c>
      <c r="B617" s="161">
        <v>77026.63</v>
      </c>
    </row>
    <row r="618" spans="1:2" ht="12.75">
      <c r="A618" s="160">
        <v>580442309</v>
      </c>
      <c r="B618" s="161">
        <v>54366.4</v>
      </c>
    </row>
    <row r="619" spans="1:2" ht="12.75">
      <c r="A619" s="160">
        <v>580442549</v>
      </c>
      <c r="B619" s="161">
        <v>144543.41</v>
      </c>
    </row>
    <row r="620" spans="1:2" ht="12.75">
      <c r="A620" s="160">
        <v>580442887</v>
      </c>
      <c r="B620" s="161">
        <v>169681.39</v>
      </c>
    </row>
    <row r="621" spans="1:2" ht="12.75">
      <c r="A621" s="160">
        <v>580443372</v>
      </c>
      <c r="B621" s="161">
        <v>101402.76</v>
      </c>
    </row>
    <row r="622" spans="1:2" ht="12.75">
      <c r="A622" s="160">
        <v>580444313</v>
      </c>
      <c r="B622" s="161">
        <v>14895.27</v>
      </c>
    </row>
    <row r="623" spans="1:2" ht="12.75">
      <c r="A623" s="160">
        <v>580444750</v>
      </c>
      <c r="B623" s="161">
        <v>360485.68</v>
      </c>
    </row>
    <row r="624" spans="1:2" ht="12.75">
      <c r="A624" s="160">
        <v>580444958</v>
      </c>
      <c r="B624" s="161">
        <v>171665.6</v>
      </c>
    </row>
    <row r="625" spans="1:2" ht="12.75">
      <c r="A625" s="160">
        <v>580445070</v>
      </c>
      <c r="B625" s="161">
        <v>77238.88</v>
      </c>
    </row>
    <row r="626" spans="1:2" ht="12.75">
      <c r="A626" s="160">
        <v>580445229</v>
      </c>
      <c r="B626" s="161">
        <v>47307.52</v>
      </c>
    </row>
    <row r="627" spans="1:2" ht="12.75">
      <c r="A627" s="160">
        <v>580445989</v>
      </c>
      <c r="B627" s="161">
        <v>236946.41</v>
      </c>
    </row>
    <row r="628" spans="1:2" ht="12.75">
      <c r="A628" s="160">
        <v>580446151</v>
      </c>
      <c r="B628" s="161">
        <v>11090.4</v>
      </c>
    </row>
    <row r="629" spans="1:2" ht="12.75">
      <c r="A629" s="160">
        <v>580447134</v>
      </c>
      <c r="B629" s="161">
        <v>118881.72</v>
      </c>
    </row>
    <row r="630" spans="1:2" ht="12.75">
      <c r="A630" s="160">
        <v>580447258</v>
      </c>
      <c r="B630" s="161">
        <v>35167.66</v>
      </c>
    </row>
    <row r="631" spans="1:2" ht="12.75">
      <c r="A631" s="160">
        <v>580447423</v>
      </c>
      <c r="B631" s="161">
        <v>120278.28</v>
      </c>
    </row>
    <row r="632" spans="1:2" ht="12.75">
      <c r="A632" s="160">
        <v>580447928</v>
      </c>
      <c r="B632" s="161">
        <v>196565.06</v>
      </c>
    </row>
    <row r="633" spans="1:2" ht="12.75">
      <c r="A633" s="160">
        <v>580448397</v>
      </c>
      <c r="B633" s="161">
        <v>10847.2</v>
      </c>
    </row>
    <row r="634" spans="1:2" ht="12.75">
      <c r="A634" s="160">
        <v>580448561</v>
      </c>
      <c r="B634" s="161">
        <v>32819.03</v>
      </c>
    </row>
    <row r="635" spans="1:2" ht="12.75">
      <c r="A635" s="160">
        <v>580449114</v>
      </c>
      <c r="B635" s="161">
        <v>12442.05</v>
      </c>
    </row>
    <row r="636" spans="1:2" ht="12.75">
      <c r="A636" s="160">
        <v>580449437</v>
      </c>
      <c r="B636" s="161">
        <v>23964.16</v>
      </c>
    </row>
    <row r="637" spans="1:2" ht="12.75">
      <c r="A637" s="160">
        <v>580449577</v>
      </c>
      <c r="B637" s="161">
        <v>112422.65</v>
      </c>
    </row>
    <row r="638" spans="1:2" ht="12.75">
      <c r="A638" s="160">
        <v>580450666</v>
      </c>
      <c r="B638" s="161">
        <v>224608.82</v>
      </c>
    </row>
    <row r="639" spans="1:2" ht="12.75">
      <c r="A639" s="160">
        <v>580451318</v>
      </c>
      <c r="B639" s="161">
        <v>40498</v>
      </c>
    </row>
    <row r="640" spans="1:2" ht="12.75">
      <c r="A640" s="160">
        <v>580452233</v>
      </c>
      <c r="B640" s="161">
        <v>136687.8</v>
      </c>
    </row>
    <row r="641" spans="1:2" ht="12.75">
      <c r="A641" s="160">
        <v>580453850</v>
      </c>
      <c r="B641" s="161">
        <v>39437.02</v>
      </c>
    </row>
    <row r="642" spans="1:2" ht="12.75">
      <c r="A642" s="160">
        <v>580454817</v>
      </c>
      <c r="B642" s="161">
        <v>119579.99</v>
      </c>
    </row>
    <row r="643" spans="1:2" ht="12.75">
      <c r="A643" s="160">
        <v>580454932</v>
      </c>
      <c r="B643" s="161">
        <v>18958.57</v>
      </c>
    </row>
    <row r="644" spans="1:2" ht="12.75">
      <c r="A644" s="160">
        <v>580455517</v>
      </c>
      <c r="B644" s="161">
        <v>2635.25</v>
      </c>
    </row>
    <row r="645" spans="1:2" ht="12.75">
      <c r="A645" s="160">
        <v>580455806</v>
      </c>
      <c r="B645" s="161">
        <v>60355.96</v>
      </c>
    </row>
    <row r="646" spans="1:2" ht="12.75">
      <c r="A646" s="160">
        <v>580455947</v>
      </c>
      <c r="B646" s="161">
        <v>116578.08</v>
      </c>
    </row>
    <row r="647" spans="1:2" ht="12.75">
      <c r="A647" s="160">
        <v>580456325</v>
      </c>
      <c r="B647" s="161">
        <v>250157.85</v>
      </c>
    </row>
    <row r="648" spans="1:2" ht="12.75">
      <c r="A648" s="160">
        <v>580458131</v>
      </c>
      <c r="B648" s="161">
        <v>219709.07</v>
      </c>
    </row>
    <row r="649" spans="1:2" ht="12.75">
      <c r="A649" s="160">
        <v>580458859</v>
      </c>
      <c r="B649" s="161">
        <v>365365.17</v>
      </c>
    </row>
    <row r="650" spans="1:2" ht="12.75">
      <c r="A650" s="160">
        <v>580459048</v>
      </c>
      <c r="B650" s="161">
        <v>300040.54</v>
      </c>
    </row>
    <row r="651" spans="1:2" ht="12.75">
      <c r="A651" s="160">
        <v>580459287</v>
      </c>
      <c r="B651" s="161">
        <v>152204.9</v>
      </c>
    </row>
    <row r="652" spans="1:2" ht="12.75">
      <c r="A652" s="160">
        <v>580459584</v>
      </c>
      <c r="B652" s="161">
        <v>86429.79</v>
      </c>
    </row>
    <row r="653" spans="1:2" ht="12.75">
      <c r="A653" s="160">
        <v>580459758</v>
      </c>
      <c r="B653" s="161">
        <v>117037.12</v>
      </c>
    </row>
    <row r="654" spans="1:2" ht="12.75">
      <c r="A654" s="160">
        <v>580459873</v>
      </c>
      <c r="B654" s="161">
        <v>240931.02</v>
      </c>
    </row>
    <row r="655" spans="1:2" ht="12.75">
      <c r="A655" s="160">
        <v>580460269</v>
      </c>
      <c r="B655" s="161">
        <v>279620.5</v>
      </c>
    </row>
    <row r="656" spans="1:2" ht="12.75">
      <c r="A656" s="160">
        <v>580460855</v>
      </c>
      <c r="B656" s="161">
        <v>36241.6</v>
      </c>
    </row>
    <row r="657" spans="1:2" ht="12.75">
      <c r="A657" s="160">
        <v>580460871</v>
      </c>
      <c r="B657" s="160">
        <v>928.87</v>
      </c>
    </row>
    <row r="658" spans="1:2" ht="12.75">
      <c r="A658" s="160">
        <v>580460988</v>
      </c>
      <c r="B658" s="161">
        <v>8598.12</v>
      </c>
    </row>
    <row r="659" spans="1:2" ht="12.75">
      <c r="A659" s="160">
        <v>580461895</v>
      </c>
      <c r="B659" s="160">
        <v>982.78</v>
      </c>
    </row>
    <row r="660" spans="1:2" ht="12.75">
      <c r="A660" s="160">
        <v>580462166</v>
      </c>
      <c r="B660" s="161">
        <v>439418.14</v>
      </c>
    </row>
    <row r="661" spans="1:2" ht="12.75">
      <c r="A661" s="160">
        <v>580462240</v>
      </c>
      <c r="B661" s="161">
        <v>15507.04</v>
      </c>
    </row>
    <row r="662" spans="1:2" ht="12.75">
      <c r="A662" s="160">
        <v>580462653</v>
      </c>
      <c r="B662" s="161">
        <v>96435.91</v>
      </c>
    </row>
    <row r="663" spans="1:2" ht="12.75">
      <c r="A663" s="160">
        <v>580462984</v>
      </c>
      <c r="B663" s="161">
        <v>114866.63</v>
      </c>
    </row>
    <row r="664" spans="1:2" ht="12.75">
      <c r="A664" s="160">
        <v>580463040</v>
      </c>
      <c r="B664" s="161">
        <v>11237.12</v>
      </c>
    </row>
    <row r="665" spans="1:2" ht="12.75">
      <c r="A665" s="160">
        <v>580463123</v>
      </c>
      <c r="B665" s="161">
        <v>293276.48</v>
      </c>
    </row>
    <row r="666" spans="1:2" ht="12.75">
      <c r="A666" s="160">
        <v>580463867</v>
      </c>
      <c r="B666" s="161">
        <v>121638.97</v>
      </c>
    </row>
    <row r="667" spans="1:2" ht="12.75">
      <c r="A667" s="160">
        <v>580464154</v>
      </c>
      <c r="B667" s="161">
        <v>12002.41</v>
      </c>
    </row>
    <row r="668" spans="1:2" ht="12.75">
      <c r="A668" s="160">
        <v>580464923</v>
      </c>
      <c r="B668" s="161">
        <v>87982.94</v>
      </c>
    </row>
    <row r="669" spans="1:2" ht="12.75">
      <c r="A669" s="160">
        <v>580464964</v>
      </c>
      <c r="B669" s="161">
        <v>393304.72</v>
      </c>
    </row>
    <row r="670" spans="1:2" ht="12.75">
      <c r="A670" s="160">
        <v>580465599</v>
      </c>
      <c r="B670" s="161">
        <v>55678.93</v>
      </c>
    </row>
    <row r="671" spans="1:2" ht="12.75">
      <c r="A671" s="160">
        <v>580465870</v>
      </c>
      <c r="B671" s="161">
        <v>1628.15</v>
      </c>
    </row>
    <row r="672" spans="1:2" ht="12.75">
      <c r="A672" s="160">
        <v>580466092</v>
      </c>
      <c r="B672" s="161">
        <v>184061.51</v>
      </c>
    </row>
    <row r="673" spans="1:2" ht="12.75">
      <c r="A673" s="160">
        <v>580466613</v>
      </c>
      <c r="B673" s="161">
        <v>126212.63</v>
      </c>
    </row>
    <row r="674" spans="1:2" ht="12.75">
      <c r="A674" s="160">
        <v>580466837</v>
      </c>
      <c r="B674" s="161">
        <v>25278.24</v>
      </c>
    </row>
    <row r="675" spans="1:2" ht="12.75">
      <c r="A675" s="160">
        <v>580466902</v>
      </c>
      <c r="B675" s="161">
        <v>189976.52</v>
      </c>
    </row>
    <row r="676" spans="1:2" ht="12.75">
      <c r="A676" s="160">
        <v>580466993</v>
      </c>
      <c r="B676" s="161">
        <v>472209.5</v>
      </c>
    </row>
    <row r="677" spans="1:2" ht="12.75">
      <c r="A677" s="160">
        <v>580467488</v>
      </c>
      <c r="B677" s="161">
        <v>4746.68</v>
      </c>
    </row>
    <row r="678" spans="1:2" ht="12.75">
      <c r="A678" s="160">
        <v>580467819</v>
      </c>
      <c r="B678" s="161">
        <v>400450.89</v>
      </c>
    </row>
    <row r="679" spans="1:2" ht="12.75">
      <c r="A679" s="160">
        <v>580467868</v>
      </c>
      <c r="B679" s="161">
        <v>281976.32</v>
      </c>
    </row>
    <row r="680" spans="1:2" ht="12.75">
      <c r="A680" s="160">
        <v>580467926</v>
      </c>
      <c r="B680" s="161">
        <v>312304.53</v>
      </c>
    </row>
    <row r="681" spans="1:2" ht="12.75">
      <c r="A681" s="160">
        <v>580468056</v>
      </c>
      <c r="B681" s="161">
        <v>18930.84</v>
      </c>
    </row>
    <row r="682" spans="1:2" ht="12.75">
      <c r="A682" s="160">
        <v>580468171</v>
      </c>
      <c r="B682" s="161">
        <v>83383.09</v>
      </c>
    </row>
    <row r="683" spans="1:2" ht="12.75">
      <c r="A683" s="160">
        <v>580470235</v>
      </c>
      <c r="B683" s="161">
        <v>38736.2</v>
      </c>
    </row>
    <row r="684" spans="1:2" ht="12.75">
      <c r="A684" s="160">
        <v>580470292</v>
      </c>
      <c r="B684" s="161">
        <v>176807.13</v>
      </c>
    </row>
    <row r="685" spans="1:2" ht="12.75">
      <c r="A685" s="160">
        <v>580470557</v>
      </c>
      <c r="B685" s="161">
        <v>154634.56</v>
      </c>
    </row>
    <row r="686" spans="1:2" ht="12.75">
      <c r="A686" s="160">
        <v>580470771</v>
      </c>
      <c r="B686" s="161">
        <v>138083.76</v>
      </c>
    </row>
    <row r="687" spans="1:2" ht="12.75">
      <c r="A687" s="160">
        <v>580471704</v>
      </c>
      <c r="B687" s="161">
        <v>44091.57</v>
      </c>
    </row>
    <row r="688" spans="1:2" ht="12.75">
      <c r="A688" s="160">
        <v>580472546</v>
      </c>
      <c r="B688" s="161">
        <v>43642.33</v>
      </c>
    </row>
    <row r="689" spans="1:2" ht="12.75">
      <c r="A689" s="160">
        <v>580472736</v>
      </c>
      <c r="B689" s="161">
        <v>271862.07</v>
      </c>
    </row>
    <row r="690" spans="1:2" ht="12.75">
      <c r="A690" s="160">
        <v>580472751</v>
      </c>
      <c r="B690" s="161">
        <v>165179.83</v>
      </c>
    </row>
    <row r="691" spans="1:2" ht="12.75">
      <c r="A691" s="160">
        <v>580473684</v>
      </c>
      <c r="B691" s="161">
        <v>12356.98</v>
      </c>
    </row>
    <row r="692" spans="1:2" ht="12.75">
      <c r="A692" s="160">
        <v>580474062</v>
      </c>
      <c r="B692" s="161">
        <v>5367.49</v>
      </c>
    </row>
    <row r="693" spans="1:2" ht="12.75">
      <c r="A693" s="160">
        <v>580475093</v>
      </c>
      <c r="B693" s="161">
        <v>37713.88</v>
      </c>
    </row>
    <row r="694" spans="1:2" ht="12.75">
      <c r="A694" s="160">
        <v>580475465</v>
      </c>
      <c r="B694" s="161">
        <v>227281.42</v>
      </c>
    </row>
    <row r="695" spans="1:2" ht="12.75">
      <c r="A695" s="160">
        <v>580475879</v>
      </c>
      <c r="B695" s="161">
        <v>16031.59</v>
      </c>
    </row>
    <row r="696" spans="1:2" ht="12.75">
      <c r="A696" s="160">
        <v>580476059</v>
      </c>
      <c r="B696" s="161">
        <v>196615.06</v>
      </c>
    </row>
    <row r="697" spans="1:2" ht="12.75">
      <c r="A697" s="160">
        <v>580476075</v>
      </c>
      <c r="B697" s="161">
        <v>134767.53</v>
      </c>
    </row>
    <row r="698" spans="1:2" ht="12.75">
      <c r="A698" s="160">
        <v>580476703</v>
      </c>
      <c r="B698" s="161">
        <v>27407.39</v>
      </c>
    </row>
    <row r="699" spans="1:2" ht="12.75">
      <c r="A699" s="160">
        <v>580477065</v>
      </c>
      <c r="B699" s="161">
        <v>92870.88</v>
      </c>
    </row>
    <row r="700" spans="1:2" ht="12.75">
      <c r="A700" s="160">
        <v>580477958</v>
      </c>
      <c r="B700" s="161">
        <v>131450.72</v>
      </c>
    </row>
    <row r="701" spans="1:2" ht="12.75">
      <c r="A701" s="160">
        <v>580479624</v>
      </c>
      <c r="B701" s="161">
        <v>8252.34</v>
      </c>
    </row>
    <row r="702" spans="1:2" ht="12.75">
      <c r="A702" s="160">
        <v>580479749</v>
      </c>
      <c r="B702" s="161">
        <v>78207.06</v>
      </c>
    </row>
    <row r="703" spans="1:2" ht="12.75">
      <c r="A703" s="160">
        <v>580480200</v>
      </c>
      <c r="B703" s="161">
        <v>8692.62</v>
      </c>
    </row>
    <row r="704" spans="1:2" ht="12.75">
      <c r="A704" s="160">
        <v>580480226</v>
      </c>
      <c r="B704" s="161">
        <v>31953.02</v>
      </c>
    </row>
    <row r="705" spans="1:2" ht="12.75">
      <c r="A705" s="160">
        <v>580480978</v>
      </c>
      <c r="B705" s="161">
        <v>172998.21</v>
      </c>
    </row>
    <row r="706" spans="1:2" ht="12.75">
      <c r="A706" s="160">
        <v>580481190</v>
      </c>
      <c r="B706" s="161">
        <v>7235.02</v>
      </c>
    </row>
    <row r="707" spans="1:2" ht="12.75">
      <c r="A707" s="160">
        <v>580481232</v>
      </c>
      <c r="B707" s="161">
        <v>368817.25</v>
      </c>
    </row>
    <row r="708" spans="1:2" ht="12.75">
      <c r="A708" s="160">
        <v>580481455</v>
      </c>
      <c r="B708" s="161">
        <v>125689.92</v>
      </c>
    </row>
    <row r="709" spans="1:2" ht="12.75">
      <c r="A709" s="160">
        <v>580481935</v>
      </c>
      <c r="B709" s="161">
        <v>105455.91</v>
      </c>
    </row>
    <row r="710" spans="1:2" ht="12.75">
      <c r="A710" s="160">
        <v>580482040</v>
      </c>
      <c r="B710" s="161">
        <v>303116.1</v>
      </c>
    </row>
    <row r="711" spans="1:2" ht="12.75">
      <c r="A711" s="160">
        <v>580482115</v>
      </c>
      <c r="B711" s="161">
        <v>20316.11</v>
      </c>
    </row>
    <row r="712" spans="1:2" ht="12.75">
      <c r="A712" s="160">
        <v>580482305</v>
      </c>
      <c r="B712" s="161">
        <v>36241.6</v>
      </c>
    </row>
    <row r="713" spans="1:2" ht="12.75">
      <c r="A713" s="160">
        <v>580483014</v>
      </c>
      <c r="B713" s="161">
        <v>3216.49</v>
      </c>
    </row>
    <row r="714" spans="1:2" ht="12.75">
      <c r="A714" s="160">
        <v>580483832</v>
      </c>
      <c r="B714" s="161">
        <v>17510.8</v>
      </c>
    </row>
    <row r="715" spans="1:2" ht="12.75">
      <c r="A715" s="160">
        <v>580484236</v>
      </c>
      <c r="B715" s="161">
        <v>11173.86</v>
      </c>
    </row>
    <row r="716" spans="1:2" ht="12.75">
      <c r="A716" s="160">
        <v>580484582</v>
      </c>
      <c r="B716" s="161">
        <v>30096.77</v>
      </c>
    </row>
    <row r="717" spans="1:2" ht="12.75">
      <c r="A717" s="160">
        <v>580486223</v>
      </c>
      <c r="B717" s="161">
        <v>255112.92</v>
      </c>
    </row>
    <row r="718" spans="1:2" ht="12.75">
      <c r="A718" s="160">
        <v>580487254</v>
      </c>
      <c r="B718" s="161">
        <v>167259.52</v>
      </c>
    </row>
    <row r="719" spans="1:2" ht="12.75">
      <c r="A719" s="160">
        <v>580487320</v>
      </c>
      <c r="B719" s="161">
        <v>170692.95</v>
      </c>
    </row>
    <row r="720" spans="1:2" ht="12.75">
      <c r="A720" s="160">
        <v>580487973</v>
      </c>
      <c r="B720" s="161">
        <v>125689.92</v>
      </c>
    </row>
    <row r="721" spans="1:2" ht="12.75">
      <c r="A721" s="160">
        <v>580488294</v>
      </c>
      <c r="B721" s="161">
        <v>128499.75</v>
      </c>
    </row>
    <row r="722" spans="1:2" ht="12.75">
      <c r="A722" s="160">
        <v>580488435</v>
      </c>
      <c r="B722" s="161">
        <v>16480.93</v>
      </c>
    </row>
    <row r="723" spans="1:2" ht="12.75">
      <c r="A723" s="160">
        <v>580488948</v>
      </c>
      <c r="B723" s="161">
        <v>240644.36</v>
      </c>
    </row>
    <row r="724" spans="1:2" ht="12.75">
      <c r="A724" s="160">
        <v>580489391</v>
      </c>
      <c r="B724" s="161">
        <v>147511.09</v>
      </c>
    </row>
    <row r="725" spans="1:2" ht="12.75">
      <c r="A725" s="160">
        <v>580489466</v>
      </c>
      <c r="B725" s="161">
        <v>83736.04</v>
      </c>
    </row>
    <row r="726" spans="1:2" ht="12.75">
      <c r="A726" s="160">
        <v>580489953</v>
      </c>
      <c r="B726" s="161">
        <v>1387.6</v>
      </c>
    </row>
    <row r="727" spans="1:2" ht="12.75">
      <c r="A727" s="160">
        <v>580490175</v>
      </c>
      <c r="B727" s="161">
        <v>113120.94</v>
      </c>
    </row>
    <row r="728" spans="1:2" ht="12.75">
      <c r="A728" s="160">
        <v>580490860</v>
      </c>
      <c r="B728" s="161">
        <v>154230.65</v>
      </c>
    </row>
    <row r="729" spans="1:2" ht="12.75">
      <c r="A729" s="160">
        <v>580491256</v>
      </c>
      <c r="B729" s="161">
        <v>183720.08</v>
      </c>
    </row>
    <row r="730" spans="1:2" ht="12.75">
      <c r="A730" s="160">
        <v>580491496</v>
      </c>
      <c r="B730" s="161">
        <v>64142.13</v>
      </c>
    </row>
    <row r="731" spans="1:2" ht="12.75">
      <c r="A731" s="160">
        <v>580492965</v>
      </c>
      <c r="B731" s="161">
        <v>136812.38</v>
      </c>
    </row>
    <row r="732" spans="1:2" ht="12.75">
      <c r="A732" s="160">
        <v>580493054</v>
      </c>
      <c r="B732" s="161">
        <v>280952.12</v>
      </c>
    </row>
    <row r="733" spans="1:2" ht="12.75">
      <c r="A733" s="160">
        <v>580493062</v>
      </c>
      <c r="B733" s="161">
        <v>154898.8</v>
      </c>
    </row>
    <row r="734" spans="1:2" ht="12.75">
      <c r="A734" s="160">
        <v>580493203</v>
      </c>
      <c r="B734" s="161">
        <v>28454.8</v>
      </c>
    </row>
    <row r="735" spans="1:2" ht="12.75">
      <c r="A735" s="160">
        <v>580495042</v>
      </c>
      <c r="B735" s="161">
        <v>100551.93</v>
      </c>
    </row>
    <row r="736" spans="1:2" ht="12.75">
      <c r="A736" s="160">
        <v>580495257</v>
      </c>
      <c r="B736" s="161">
        <v>120616</v>
      </c>
    </row>
    <row r="737" spans="1:2" ht="12.75">
      <c r="A737" s="160">
        <v>580496107</v>
      </c>
      <c r="B737" s="161">
        <v>75402.31</v>
      </c>
    </row>
    <row r="738" spans="1:2" ht="12.75">
      <c r="A738" s="160">
        <v>580496792</v>
      </c>
      <c r="B738" s="161">
        <v>9606.81</v>
      </c>
    </row>
    <row r="739" spans="1:2" ht="12.75">
      <c r="A739" s="160">
        <v>580497048</v>
      </c>
      <c r="B739" s="161">
        <v>460048.46</v>
      </c>
    </row>
    <row r="740" spans="1:2" ht="12.75">
      <c r="A740" s="160">
        <v>580497170</v>
      </c>
      <c r="B740" s="161">
        <v>17365.66</v>
      </c>
    </row>
    <row r="741" spans="1:2" ht="12.75">
      <c r="A741" s="160">
        <v>580497758</v>
      </c>
      <c r="B741" s="161">
        <v>254544.23</v>
      </c>
    </row>
    <row r="742" spans="1:2" ht="12.75">
      <c r="A742" s="160">
        <v>580498012</v>
      </c>
      <c r="B742" s="161">
        <v>244635.17</v>
      </c>
    </row>
    <row r="743" spans="1:2" ht="12.75">
      <c r="A743" s="160">
        <v>580498038</v>
      </c>
      <c r="B743" s="161">
        <v>120278.28</v>
      </c>
    </row>
    <row r="744" spans="1:2" ht="12.75">
      <c r="A744" s="160">
        <v>580498244</v>
      </c>
      <c r="B744" s="161">
        <v>299037.25</v>
      </c>
    </row>
    <row r="745" spans="1:2" ht="12.75">
      <c r="A745" s="160">
        <v>580498251</v>
      </c>
      <c r="B745" s="161">
        <v>100667.52</v>
      </c>
    </row>
    <row r="746" spans="1:2" ht="12.75">
      <c r="A746" s="160">
        <v>580498509</v>
      </c>
      <c r="B746" s="161">
        <v>221703.06</v>
      </c>
    </row>
    <row r="747" spans="1:2" ht="12.75">
      <c r="A747" s="160">
        <v>580499150</v>
      </c>
      <c r="B747" s="161">
        <v>83980.09</v>
      </c>
    </row>
    <row r="748" spans="1:2" ht="12.75">
      <c r="A748" s="160">
        <v>580499192</v>
      </c>
      <c r="B748" s="161">
        <v>71224.29</v>
      </c>
    </row>
    <row r="749" spans="1:2" ht="12.75">
      <c r="A749" s="160">
        <v>580499853</v>
      </c>
      <c r="B749" s="161">
        <v>69932.74</v>
      </c>
    </row>
    <row r="750" spans="1:2" ht="12.75">
      <c r="A750" s="160">
        <v>580500825</v>
      </c>
      <c r="B750" s="161">
        <v>343204.94</v>
      </c>
    </row>
    <row r="751" spans="1:2" ht="12.75">
      <c r="A751" s="160">
        <v>580502698</v>
      </c>
      <c r="B751" s="161">
        <v>17321.01</v>
      </c>
    </row>
    <row r="752" spans="1:2" ht="12.75">
      <c r="A752" s="160">
        <v>580502763</v>
      </c>
      <c r="B752" s="161">
        <v>41926.38</v>
      </c>
    </row>
    <row r="753" spans="1:2" ht="12.75">
      <c r="A753" s="160">
        <v>580503308</v>
      </c>
      <c r="B753" s="161">
        <v>15625</v>
      </c>
    </row>
    <row r="754" spans="1:2" ht="12.75">
      <c r="A754" s="160">
        <v>580503662</v>
      </c>
      <c r="B754" s="161">
        <v>4007.45</v>
      </c>
    </row>
    <row r="755" spans="1:2" ht="12.75">
      <c r="A755" s="160">
        <v>580503928</v>
      </c>
      <c r="B755" s="161">
        <v>19600.9</v>
      </c>
    </row>
    <row r="756" spans="1:2" ht="12.75">
      <c r="A756" s="160">
        <v>580504496</v>
      </c>
      <c r="B756" s="161">
        <v>24213.49</v>
      </c>
    </row>
    <row r="757" spans="1:2" ht="12.75">
      <c r="A757" s="160">
        <v>580504660</v>
      </c>
      <c r="B757" s="161">
        <v>246011.4</v>
      </c>
    </row>
    <row r="758" spans="1:2" ht="12.75">
      <c r="A758" s="160">
        <v>580505329</v>
      </c>
      <c r="B758" s="161">
        <v>71224.29</v>
      </c>
    </row>
    <row r="759" spans="1:2" ht="12.75">
      <c r="A759" s="160">
        <v>580506566</v>
      </c>
      <c r="B759" s="161">
        <v>25397.02</v>
      </c>
    </row>
    <row r="760" spans="1:2" ht="12.75">
      <c r="A760" s="160">
        <v>580506574</v>
      </c>
      <c r="B760" s="161">
        <v>47482.86</v>
      </c>
    </row>
    <row r="761" spans="1:2" ht="12.75">
      <c r="A761" s="160">
        <v>580507341</v>
      </c>
      <c r="B761" s="161">
        <v>242314.72</v>
      </c>
    </row>
    <row r="762" spans="1:2" ht="12.75">
      <c r="A762" s="160">
        <v>580507531</v>
      </c>
      <c r="B762" s="161">
        <v>233206.17</v>
      </c>
    </row>
    <row r="763" spans="1:2" ht="12.75">
      <c r="A763" s="160">
        <v>580507705</v>
      </c>
      <c r="B763" s="161">
        <v>16201.06</v>
      </c>
    </row>
    <row r="764" spans="1:2" ht="12.75">
      <c r="A764" s="160">
        <v>580507929</v>
      </c>
      <c r="B764" s="161">
        <v>25375.03</v>
      </c>
    </row>
    <row r="765" spans="1:2" ht="12.75">
      <c r="A765" s="160">
        <v>580508919</v>
      </c>
      <c r="B765" s="161">
        <v>158508.96</v>
      </c>
    </row>
    <row r="766" spans="1:2" ht="12.75">
      <c r="A766" s="160">
        <v>580509065</v>
      </c>
      <c r="B766" s="161">
        <v>10027.01</v>
      </c>
    </row>
    <row r="767" spans="1:2" ht="12.75">
      <c r="A767" s="160">
        <v>580509487</v>
      </c>
      <c r="B767" s="161">
        <v>341981.32</v>
      </c>
    </row>
    <row r="768" spans="1:2" ht="12.75">
      <c r="A768" s="160">
        <v>580509834</v>
      </c>
      <c r="B768" s="161">
        <v>115032.68</v>
      </c>
    </row>
    <row r="769" spans="1:2" ht="12.75">
      <c r="A769" s="160">
        <v>580512325</v>
      </c>
      <c r="B769" s="161">
        <v>45493.23</v>
      </c>
    </row>
    <row r="770" spans="1:2" ht="12.75">
      <c r="A770" s="160">
        <v>580512333</v>
      </c>
      <c r="B770" s="161">
        <v>2800.99</v>
      </c>
    </row>
    <row r="771" spans="1:2" ht="12.75">
      <c r="A771" s="160">
        <v>580513133</v>
      </c>
      <c r="B771" s="161">
        <v>25278.24</v>
      </c>
    </row>
    <row r="772" spans="1:2" ht="12.75">
      <c r="A772" s="160">
        <v>580513802</v>
      </c>
      <c r="B772" s="161">
        <v>94962.28</v>
      </c>
    </row>
    <row r="773" spans="1:2" ht="12.75">
      <c r="A773" s="160">
        <v>580513885</v>
      </c>
      <c r="B773" s="161">
        <v>62803.08</v>
      </c>
    </row>
    <row r="774" spans="1:2" ht="12.75">
      <c r="A774" s="160">
        <v>580513927</v>
      </c>
      <c r="B774" s="161">
        <v>80738.32</v>
      </c>
    </row>
    <row r="775" spans="1:2" ht="12.75">
      <c r="A775" s="160">
        <v>580514610</v>
      </c>
      <c r="B775" s="161">
        <v>47549.81</v>
      </c>
    </row>
    <row r="776" spans="1:2" ht="12.75">
      <c r="A776" s="160">
        <v>580515021</v>
      </c>
      <c r="B776" s="161">
        <v>8526.47</v>
      </c>
    </row>
    <row r="777" spans="1:2" ht="12.75">
      <c r="A777" s="160">
        <v>580515831</v>
      </c>
      <c r="B777" s="161">
        <v>10914.7</v>
      </c>
    </row>
    <row r="778" spans="1:2" ht="12.75">
      <c r="A778" s="160">
        <v>580516722</v>
      </c>
      <c r="B778" s="161">
        <v>27585.31</v>
      </c>
    </row>
    <row r="779" spans="1:2" ht="12.75">
      <c r="A779" s="160">
        <v>580518942</v>
      </c>
      <c r="B779" s="161">
        <v>58334.17</v>
      </c>
    </row>
    <row r="780" spans="1:2" ht="12.75">
      <c r="A780" s="160">
        <v>580519932</v>
      </c>
      <c r="B780" s="161">
        <v>166368.65</v>
      </c>
    </row>
    <row r="781" spans="1:2" ht="12.75">
      <c r="A781" s="160">
        <v>580520559</v>
      </c>
      <c r="B781" s="161">
        <v>67850.85</v>
      </c>
    </row>
    <row r="782" spans="1:2" ht="12.75">
      <c r="A782" s="160">
        <v>580521847</v>
      </c>
      <c r="B782" s="161">
        <v>3029.26</v>
      </c>
    </row>
    <row r="783" spans="1:2" ht="12.75">
      <c r="A783" s="160">
        <v>580522647</v>
      </c>
      <c r="B783" s="161">
        <v>69653.16</v>
      </c>
    </row>
    <row r="784" spans="1:2" ht="12.75">
      <c r="A784" s="160">
        <v>580523637</v>
      </c>
      <c r="B784" s="161">
        <v>136862.35</v>
      </c>
    </row>
    <row r="785" spans="1:2" ht="12.75">
      <c r="A785" s="160">
        <v>580525004</v>
      </c>
      <c r="B785" s="161">
        <v>227550.84</v>
      </c>
    </row>
    <row r="786" spans="1:2" ht="12.75">
      <c r="A786" s="160">
        <v>580527372</v>
      </c>
      <c r="B786" s="161">
        <v>17525.71</v>
      </c>
    </row>
    <row r="787" spans="1:2" ht="12.75">
      <c r="A787" s="160">
        <v>580527430</v>
      </c>
      <c r="B787" s="161">
        <v>83793.3</v>
      </c>
    </row>
    <row r="788" spans="1:2" ht="12.75">
      <c r="A788" s="160">
        <v>580527802</v>
      </c>
      <c r="B788" s="161">
        <v>135005.54</v>
      </c>
    </row>
    <row r="789" spans="1:2" ht="12.75">
      <c r="A789" s="160">
        <v>580528214</v>
      </c>
      <c r="B789" s="161">
        <v>13922.2</v>
      </c>
    </row>
    <row r="790" spans="1:2" ht="12.75">
      <c r="A790" s="160">
        <v>580529063</v>
      </c>
      <c r="B790" s="161">
        <v>164141.5</v>
      </c>
    </row>
    <row r="791" spans="1:2" ht="12.75">
      <c r="A791" s="160">
        <v>580529105</v>
      </c>
      <c r="B791" s="161">
        <v>54675.09</v>
      </c>
    </row>
    <row r="792" spans="1:2" ht="12.75">
      <c r="A792" s="160">
        <v>580529873</v>
      </c>
      <c r="B792" s="161">
        <v>94267.43</v>
      </c>
    </row>
    <row r="793" spans="1:2" ht="12.75">
      <c r="A793" s="160">
        <v>580530228</v>
      </c>
      <c r="B793" s="161">
        <v>82673.63</v>
      </c>
    </row>
    <row r="794" spans="1:2" ht="12.75">
      <c r="A794" s="160">
        <v>580530376</v>
      </c>
      <c r="B794" s="161">
        <v>29812.42</v>
      </c>
    </row>
    <row r="795" spans="1:2" ht="12.75">
      <c r="A795" s="160">
        <v>580530814</v>
      </c>
      <c r="B795" s="161">
        <v>259909.26</v>
      </c>
    </row>
    <row r="796" spans="1:2" ht="12.75">
      <c r="A796" s="160">
        <v>580530897</v>
      </c>
      <c r="B796" s="161">
        <v>10726.77</v>
      </c>
    </row>
    <row r="797" spans="1:2" ht="12.75">
      <c r="A797" s="160">
        <v>580531317</v>
      </c>
      <c r="B797" s="161">
        <v>48894.4</v>
      </c>
    </row>
    <row r="798" spans="1:2" ht="12.75">
      <c r="A798" s="160">
        <v>580531556</v>
      </c>
      <c r="B798" s="161">
        <v>13021.98</v>
      </c>
    </row>
    <row r="799" spans="1:2" ht="12.75">
      <c r="A799" s="160">
        <v>580531614</v>
      </c>
      <c r="B799" s="161">
        <v>18628.6</v>
      </c>
    </row>
    <row r="800" spans="1:2" ht="12.75">
      <c r="A800" s="160">
        <v>580533438</v>
      </c>
      <c r="B800" s="161">
        <v>87110.1</v>
      </c>
    </row>
    <row r="801" spans="1:2" ht="12.75">
      <c r="A801" s="160">
        <v>580533677</v>
      </c>
      <c r="B801" s="161">
        <v>172159.27</v>
      </c>
    </row>
    <row r="802" spans="1:2" ht="12.75">
      <c r="A802" s="160">
        <v>580534147</v>
      </c>
      <c r="B802" s="161">
        <v>71748</v>
      </c>
    </row>
    <row r="803" spans="1:2" ht="12.75">
      <c r="A803" s="160">
        <v>580534246</v>
      </c>
      <c r="B803" s="161">
        <v>106836.43</v>
      </c>
    </row>
    <row r="804" spans="1:2" ht="12.75">
      <c r="A804" s="160">
        <v>580535516</v>
      </c>
      <c r="B804" s="161">
        <v>93054.2</v>
      </c>
    </row>
    <row r="805" spans="1:2" ht="12.75">
      <c r="A805" s="160">
        <v>580536316</v>
      </c>
      <c r="B805" s="161">
        <v>190419.15</v>
      </c>
    </row>
    <row r="806" spans="1:2" ht="12.75">
      <c r="A806" s="160">
        <v>580536332</v>
      </c>
      <c r="B806" s="161">
        <v>119754.57</v>
      </c>
    </row>
    <row r="807" spans="1:2" ht="12.75">
      <c r="A807" s="160">
        <v>580536472</v>
      </c>
      <c r="B807" s="161">
        <v>28284.9</v>
      </c>
    </row>
    <row r="808" spans="1:2" ht="12.75">
      <c r="A808" s="160">
        <v>580538288</v>
      </c>
      <c r="B808" s="161">
        <v>35189.01</v>
      </c>
    </row>
    <row r="809" spans="1:2" ht="12.75">
      <c r="A809" s="160">
        <v>580538403</v>
      </c>
      <c r="B809" s="161">
        <v>39627.24</v>
      </c>
    </row>
    <row r="810" spans="1:2" ht="12.75">
      <c r="A810" s="160">
        <v>580538668</v>
      </c>
      <c r="B810" s="161">
        <v>81698.45</v>
      </c>
    </row>
    <row r="811" spans="1:2" ht="12.75">
      <c r="A811" s="160">
        <v>580539062</v>
      </c>
      <c r="B811" s="161">
        <v>255232.23</v>
      </c>
    </row>
    <row r="812" spans="1:2" ht="12.75">
      <c r="A812" s="160">
        <v>580540136</v>
      </c>
      <c r="B812" s="161">
        <v>47317.39</v>
      </c>
    </row>
    <row r="813" spans="1:2" ht="12.75">
      <c r="A813" s="160">
        <v>580540391</v>
      </c>
      <c r="B813" s="161">
        <v>28313.32</v>
      </c>
    </row>
    <row r="814" spans="1:2" ht="12.75">
      <c r="A814" s="160">
        <v>580541191</v>
      </c>
      <c r="B814" s="161">
        <v>75166.56</v>
      </c>
    </row>
    <row r="815" spans="1:2" ht="12.75">
      <c r="A815" s="160">
        <v>580541332</v>
      </c>
      <c r="B815" s="161">
        <v>125217.76</v>
      </c>
    </row>
    <row r="816" spans="1:2" ht="12.75">
      <c r="A816" s="160">
        <v>580541647</v>
      </c>
      <c r="B816" s="161">
        <v>102337.88</v>
      </c>
    </row>
    <row r="817" spans="1:2" ht="12.75">
      <c r="A817" s="160">
        <v>580542421</v>
      </c>
      <c r="B817" s="161">
        <v>29636.39</v>
      </c>
    </row>
    <row r="818" spans="1:2" ht="12.75">
      <c r="A818" s="160">
        <v>580542710</v>
      </c>
      <c r="B818" s="161">
        <v>186416.26</v>
      </c>
    </row>
    <row r="819" spans="1:2" ht="12.75">
      <c r="A819" s="160">
        <v>580543296</v>
      </c>
      <c r="B819" s="161">
        <v>50275.96</v>
      </c>
    </row>
    <row r="820" spans="1:2" ht="12.75">
      <c r="A820" s="160">
        <v>580543320</v>
      </c>
      <c r="B820" s="161">
        <v>212804.9</v>
      </c>
    </row>
    <row r="821" spans="1:2" ht="12.75">
      <c r="A821" s="160">
        <v>580543585</v>
      </c>
      <c r="B821" s="161">
        <v>47672.04</v>
      </c>
    </row>
    <row r="822" spans="1:2" ht="12.75">
      <c r="A822" s="160">
        <v>580543858</v>
      </c>
      <c r="B822" s="161">
        <v>197088.77</v>
      </c>
    </row>
    <row r="823" spans="1:2" ht="12.75">
      <c r="A823" s="160">
        <v>580544195</v>
      </c>
      <c r="B823" s="161">
        <v>125689.92</v>
      </c>
    </row>
    <row r="824" spans="1:2" ht="12.75">
      <c r="A824" s="160">
        <v>580545523</v>
      </c>
      <c r="B824" s="161">
        <v>156239.56</v>
      </c>
    </row>
    <row r="825" spans="1:2" ht="12.75">
      <c r="A825" s="160">
        <v>580545846</v>
      </c>
      <c r="B825" s="161">
        <v>12310.16</v>
      </c>
    </row>
    <row r="826" spans="1:2" ht="12.75">
      <c r="A826" s="160">
        <v>580546091</v>
      </c>
      <c r="B826" s="161">
        <v>63892.38</v>
      </c>
    </row>
    <row r="827" spans="1:2" ht="12.75">
      <c r="A827" s="160">
        <v>580546133</v>
      </c>
      <c r="B827" s="161">
        <v>79254.48</v>
      </c>
    </row>
    <row r="828" spans="1:2" ht="12.75">
      <c r="A828" s="160">
        <v>580546323</v>
      </c>
      <c r="B828" s="161">
        <v>253300.1</v>
      </c>
    </row>
    <row r="829" spans="1:2" ht="12.75">
      <c r="A829" s="160">
        <v>580546646</v>
      </c>
      <c r="B829" s="161">
        <v>227805.88</v>
      </c>
    </row>
    <row r="830" spans="1:2" ht="12.75">
      <c r="A830" s="160">
        <v>580546695</v>
      </c>
      <c r="B830" s="161">
        <v>102995.91</v>
      </c>
    </row>
    <row r="831" spans="1:2" ht="12.75">
      <c r="A831" s="160">
        <v>580546851</v>
      </c>
      <c r="B831" s="161">
        <v>11724.14</v>
      </c>
    </row>
    <row r="832" spans="1:2" ht="12.75">
      <c r="A832" s="160">
        <v>580546992</v>
      </c>
      <c r="B832" s="161">
        <v>126737.34</v>
      </c>
    </row>
    <row r="833" spans="1:2" ht="12.75">
      <c r="A833" s="160">
        <v>580547339</v>
      </c>
      <c r="B833" s="161">
        <v>104656.27</v>
      </c>
    </row>
    <row r="834" spans="1:2" ht="12.75">
      <c r="A834" s="160">
        <v>580547578</v>
      </c>
      <c r="B834" s="161">
        <v>19012.12</v>
      </c>
    </row>
    <row r="835" spans="1:2" ht="12.75">
      <c r="A835" s="160">
        <v>580548311</v>
      </c>
      <c r="B835" s="161">
        <v>12109.02</v>
      </c>
    </row>
    <row r="836" spans="1:2" ht="12.75">
      <c r="A836" s="160">
        <v>580548717</v>
      </c>
      <c r="B836" s="161">
        <v>55710.66</v>
      </c>
    </row>
    <row r="837" spans="1:2" ht="12.75">
      <c r="A837" s="160">
        <v>580548907</v>
      </c>
      <c r="B837" s="161">
        <v>338790.13</v>
      </c>
    </row>
    <row r="838" spans="1:2" ht="12.75">
      <c r="A838" s="160">
        <v>580549483</v>
      </c>
      <c r="B838" s="161">
        <v>55513.05</v>
      </c>
    </row>
    <row r="839" spans="1:2" ht="12.75">
      <c r="A839" s="160">
        <v>580549558</v>
      </c>
      <c r="B839" s="161">
        <v>44568</v>
      </c>
    </row>
    <row r="840" spans="1:2" ht="12.75">
      <c r="A840" s="160">
        <v>580549830</v>
      </c>
      <c r="B840" s="161">
        <v>16916.4</v>
      </c>
    </row>
    <row r="841" spans="1:2" ht="12.75">
      <c r="A841" s="160">
        <v>580550218</v>
      </c>
      <c r="B841" s="161">
        <v>63562.73</v>
      </c>
    </row>
    <row r="842" spans="1:2" ht="12.75">
      <c r="A842" s="160">
        <v>580550374</v>
      </c>
      <c r="B842" s="161">
        <v>25172.57</v>
      </c>
    </row>
    <row r="843" spans="1:2" ht="12.75">
      <c r="A843" s="160">
        <v>580550432</v>
      </c>
      <c r="B843" s="161">
        <v>144765.22</v>
      </c>
    </row>
    <row r="844" spans="1:2" ht="12.75">
      <c r="A844" s="160">
        <v>580551109</v>
      </c>
      <c r="B844" s="161">
        <v>104119.6</v>
      </c>
    </row>
    <row r="845" spans="1:2" ht="12.75">
      <c r="A845" s="160">
        <v>580551323</v>
      </c>
      <c r="B845" s="161">
        <v>175677.4</v>
      </c>
    </row>
    <row r="846" spans="1:2" ht="12.75">
      <c r="A846" s="160">
        <v>580551558</v>
      </c>
      <c r="B846" s="161">
        <v>2737.84</v>
      </c>
    </row>
    <row r="847" spans="1:2" ht="12.75">
      <c r="A847" s="160">
        <v>580551588</v>
      </c>
      <c r="B847" s="161">
        <v>99049.41</v>
      </c>
    </row>
    <row r="848" spans="1:2" ht="12.75">
      <c r="A848" s="160">
        <v>580551802</v>
      </c>
      <c r="B848" s="161">
        <v>48886.11</v>
      </c>
    </row>
    <row r="849" spans="1:2" ht="12.75">
      <c r="A849" s="160">
        <v>580552107</v>
      </c>
      <c r="B849" s="161">
        <v>3862.18</v>
      </c>
    </row>
    <row r="850" spans="1:2" ht="12.75">
      <c r="A850" s="160">
        <v>580552461</v>
      </c>
      <c r="B850" s="161">
        <v>162471.13</v>
      </c>
    </row>
    <row r="851" spans="1:2" ht="12.75">
      <c r="A851" s="160">
        <v>580553022</v>
      </c>
      <c r="B851" s="161">
        <v>48106.6</v>
      </c>
    </row>
    <row r="852" spans="1:2" ht="12.75">
      <c r="A852" s="160">
        <v>580553071</v>
      </c>
      <c r="B852" s="161">
        <v>56569.8</v>
      </c>
    </row>
    <row r="853" spans="1:2" ht="12.75">
      <c r="A853" s="160">
        <v>580553097</v>
      </c>
      <c r="B853" s="161">
        <v>49228.55</v>
      </c>
    </row>
    <row r="854" spans="1:2" ht="12.75">
      <c r="A854" s="160">
        <v>580553741</v>
      </c>
      <c r="B854" s="161">
        <v>227725.07</v>
      </c>
    </row>
    <row r="855" spans="1:2" ht="12.75">
      <c r="A855" s="160">
        <v>580555647</v>
      </c>
      <c r="B855" s="161">
        <v>76168.78</v>
      </c>
    </row>
    <row r="856" spans="1:2" ht="12.75">
      <c r="A856" s="160">
        <v>580556447</v>
      </c>
      <c r="B856" s="161">
        <v>31422.48</v>
      </c>
    </row>
    <row r="857" spans="1:2" ht="12.75">
      <c r="A857" s="160">
        <v>580556488</v>
      </c>
      <c r="B857" s="161">
        <v>82047.6</v>
      </c>
    </row>
    <row r="858" spans="1:2" ht="12.75">
      <c r="A858" s="160">
        <v>580557965</v>
      </c>
      <c r="B858" s="161">
        <v>94267.44</v>
      </c>
    </row>
    <row r="859" spans="1:2" ht="12.75">
      <c r="A859" s="160">
        <v>580558708</v>
      </c>
      <c r="B859" s="161">
        <v>113120.94</v>
      </c>
    </row>
    <row r="860" spans="1:2" ht="12.75">
      <c r="A860" s="160">
        <v>580560548</v>
      </c>
      <c r="B860" s="161">
        <v>201223.67</v>
      </c>
    </row>
    <row r="861" spans="1:2" ht="12.75">
      <c r="A861" s="160">
        <v>580561868</v>
      </c>
      <c r="B861" s="161">
        <v>37093.03</v>
      </c>
    </row>
    <row r="862" spans="1:2" ht="12.75">
      <c r="A862" s="160">
        <v>580561918</v>
      </c>
      <c r="B862" s="161">
        <v>100222.08</v>
      </c>
    </row>
    <row r="863" spans="1:2" ht="12.75">
      <c r="A863" s="160">
        <v>580562494</v>
      </c>
      <c r="B863" s="161">
        <v>86859.13</v>
      </c>
    </row>
    <row r="864" spans="1:2" ht="12.75">
      <c r="A864" s="160">
        <v>580563039</v>
      </c>
      <c r="B864" s="161">
        <v>63892.38</v>
      </c>
    </row>
    <row r="865" spans="1:2" ht="12.75">
      <c r="A865" s="160">
        <v>580563120</v>
      </c>
      <c r="B865" s="161">
        <v>55567.57</v>
      </c>
    </row>
    <row r="866" spans="1:2" ht="12.75">
      <c r="A866" s="160">
        <v>580563146</v>
      </c>
      <c r="B866" s="161">
        <v>75149.5</v>
      </c>
    </row>
    <row r="867" spans="1:2" ht="12.75">
      <c r="A867" s="160">
        <v>580563625</v>
      </c>
      <c r="B867" s="161">
        <v>229209.53</v>
      </c>
    </row>
    <row r="868" spans="1:2" ht="12.75">
      <c r="A868" s="160">
        <v>580563740</v>
      </c>
      <c r="B868" s="161">
        <v>15769.48</v>
      </c>
    </row>
    <row r="869" spans="1:2" ht="12.75">
      <c r="A869" s="160">
        <v>580564110</v>
      </c>
      <c r="B869" s="161">
        <v>10136.14</v>
      </c>
    </row>
    <row r="870" spans="1:2" ht="12.75">
      <c r="A870" s="160">
        <v>580564961</v>
      </c>
      <c r="B870" s="161">
        <v>50630.15</v>
      </c>
    </row>
    <row r="871" spans="1:2" ht="12.75">
      <c r="A871" s="160">
        <v>580565406</v>
      </c>
      <c r="B871" s="161">
        <v>106712.02</v>
      </c>
    </row>
    <row r="872" spans="1:2" ht="12.75">
      <c r="A872" s="160">
        <v>580566057</v>
      </c>
      <c r="B872" s="161">
        <v>174220.2</v>
      </c>
    </row>
    <row r="873" spans="1:2" ht="12.75">
      <c r="A873" s="160">
        <v>580566164</v>
      </c>
      <c r="B873" s="161">
        <v>32367.51</v>
      </c>
    </row>
    <row r="874" spans="1:2" ht="12.75">
      <c r="A874" s="160">
        <v>580566743</v>
      </c>
      <c r="B874" s="161">
        <v>79254.48</v>
      </c>
    </row>
    <row r="875" spans="1:2" ht="12.75">
      <c r="A875" s="160">
        <v>580566776</v>
      </c>
      <c r="B875" s="161">
        <v>59910.53</v>
      </c>
    </row>
    <row r="876" spans="1:2" ht="12.75">
      <c r="A876" s="160">
        <v>580567972</v>
      </c>
      <c r="B876" s="161">
        <v>87972.72</v>
      </c>
    </row>
    <row r="877" spans="1:2" ht="12.75">
      <c r="A877" s="160">
        <v>580568681</v>
      </c>
      <c r="B877" s="161">
        <v>47300.93</v>
      </c>
    </row>
    <row r="878" spans="1:2" ht="12.75">
      <c r="A878" s="160">
        <v>580570034</v>
      </c>
      <c r="B878" s="161">
        <v>18626.8</v>
      </c>
    </row>
    <row r="879" spans="1:2" ht="12.75">
      <c r="A879" s="160">
        <v>580575827</v>
      </c>
      <c r="B879" s="161">
        <v>61548.22</v>
      </c>
    </row>
    <row r="880" spans="1:2" ht="12.75">
      <c r="A880" s="160">
        <v>580576247</v>
      </c>
      <c r="B880" s="161">
        <v>54788.07</v>
      </c>
    </row>
    <row r="881" spans="1:2" ht="12.75">
      <c r="A881" s="160">
        <v>580576346</v>
      </c>
      <c r="B881" s="161">
        <v>50822.39</v>
      </c>
    </row>
    <row r="882" spans="1:2" ht="12.75">
      <c r="A882" s="160">
        <v>580576866</v>
      </c>
      <c r="B882" s="161">
        <v>144194.26</v>
      </c>
    </row>
    <row r="883" spans="1:2" ht="12.75">
      <c r="A883" s="160">
        <v>580577591</v>
      </c>
      <c r="B883" s="161">
        <v>21435.15</v>
      </c>
    </row>
    <row r="884" spans="1:2" ht="12.75">
      <c r="A884" s="160">
        <v>580577849</v>
      </c>
      <c r="B884" s="161">
        <v>58437.75</v>
      </c>
    </row>
    <row r="885" spans="1:2" ht="12.75">
      <c r="A885" s="160">
        <v>580578250</v>
      </c>
      <c r="B885" s="161">
        <v>554805.18</v>
      </c>
    </row>
    <row r="886" spans="1:2" ht="12.75">
      <c r="A886" s="160">
        <v>580578623</v>
      </c>
      <c r="B886" s="161">
        <v>63368.67</v>
      </c>
    </row>
    <row r="887" spans="1:2" ht="12.75">
      <c r="A887" s="160">
        <v>580579068</v>
      </c>
      <c r="B887" s="161">
        <v>23242.09</v>
      </c>
    </row>
    <row r="888" spans="1:2" ht="12.75">
      <c r="A888" s="160">
        <v>580580181</v>
      </c>
      <c r="B888" s="161">
        <v>2737.84</v>
      </c>
    </row>
    <row r="889" spans="1:2" ht="12.75">
      <c r="A889" s="160">
        <v>580580561</v>
      </c>
      <c r="B889" s="161">
        <v>56909.6</v>
      </c>
    </row>
    <row r="890" spans="1:2" ht="12.75">
      <c r="A890" s="160">
        <v>580581098</v>
      </c>
      <c r="B890" s="161">
        <v>134592.96</v>
      </c>
    </row>
    <row r="891" spans="1:2" ht="12.75">
      <c r="A891" s="160">
        <v>580582351</v>
      </c>
      <c r="B891" s="161">
        <v>47482.86</v>
      </c>
    </row>
    <row r="892" spans="1:2" ht="12.75">
      <c r="A892" s="160">
        <v>580582856</v>
      </c>
      <c r="B892" s="161">
        <v>163396.9</v>
      </c>
    </row>
    <row r="893" spans="1:2" ht="12.75">
      <c r="A893" s="160">
        <v>580584175</v>
      </c>
      <c r="B893" s="161">
        <v>4494.29</v>
      </c>
    </row>
    <row r="894" spans="1:2" ht="12.75">
      <c r="A894" s="160">
        <v>580584183</v>
      </c>
      <c r="B894" s="161">
        <v>18301.71</v>
      </c>
    </row>
    <row r="895" spans="1:2" ht="12.75">
      <c r="A895" s="160">
        <v>580584191</v>
      </c>
      <c r="B895" s="161">
        <v>4649.51</v>
      </c>
    </row>
    <row r="896" spans="1:2" ht="12.75">
      <c r="A896" s="160">
        <v>580584597</v>
      </c>
      <c r="B896" s="161">
        <v>33193.97</v>
      </c>
    </row>
    <row r="897" spans="1:2" ht="12.75">
      <c r="A897" s="160">
        <v>580585016</v>
      </c>
      <c r="B897" s="161">
        <v>15343.81</v>
      </c>
    </row>
    <row r="898" spans="1:2" ht="12.75">
      <c r="A898" s="160">
        <v>580585289</v>
      </c>
      <c r="B898" s="161">
        <v>23548.75</v>
      </c>
    </row>
    <row r="899" spans="1:2" ht="12.75">
      <c r="A899" s="160">
        <v>580585297</v>
      </c>
      <c r="B899" s="161">
        <v>32377.2</v>
      </c>
    </row>
    <row r="900" spans="1:2" ht="12.75">
      <c r="A900" s="160">
        <v>580585990</v>
      </c>
      <c r="B900" s="161">
        <v>255499.14</v>
      </c>
    </row>
    <row r="901" spans="1:2" ht="12.75">
      <c r="A901" s="160">
        <v>580587459</v>
      </c>
      <c r="B901" s="161">
        <v>42382.02</v>
      </c>
    </row>
    <row r="902" spans="1:2" ht="12.75">
      <c r="A902" s="160">
        <v>580587723</v>
      </c>
      <c r="B902" s="161">
        <v>90000.66</v>
      </c>
    </row>
    <row r="903" spans="1:2" ht="12.75">
      <c r="A903" s="160">
        <v>580588325</v>
      </c>
      <c r="B903" s="161">
        <v>23741.43</v>
      </c>
    </row>
    <row r="904" spans="1:2" ht="12.75">
      <c r="A904" s="160">
        <v>580589059</v>
      </c>
      <c r="B904" s="161">
        <v>185218.06</v>
      </c>
    </row>
    <row r="905" spans="1:2" ht="12.75">
      <c r="A905" s="160">
        <v>580589851</v>
      </c>
      <c r="B905" s="161">
        <v>98457.11</v>
      </c>
    </row>
    <row r="906" spans="1:2" ht="12.75">
      <c r="A906" s="160">
        <v>580591931</v>
      </c>
      <c r="B906" s="161">
        <v>66257.93</v>
      </c>
    </row>
    <row r="907" spans="1:2" ht="12.75">
      <c r="A907" s="160">
        <v>580592137</v>
      </c>
      <c r="B907" s="161">
        <v>78381.63</v>
      </c>
    </row>
    <row r="908" spans="1:2" ht="12.75">
      <c r="A908" s="160">
        <v>580592475</v>
      </c>
      <c r="B908" s="161">
        <v>95140.29</v>
      </c>
    </row>
    <row r="909" spans="1:2" ht="12.75">
      <c r="A909" s="160">
        <v>580592533</v>
      </c>
      <c r="B909" s="161">
        <v>4943.07</v>
      </c>
    </row>
    <row r="910" spans="1:2" ht="12.75">
      <c r="A910" s="160">
        <v>580592806</v>
      </c>
      <c r="B910" s="161">
        <v>98642.49</v>
      </c>
    </row>
    <row r="911" spans="1:2" ht="12.75">
      <c r="A911" s="160">
        <v>580593887</v>
      </c>
      <c r="B911" s="161">
        <v>70718.91</v>
      </c>
    </row>
    <row r="912" spans="1:2" ht="12.75">
      <c r="A912" s="160">
        <v>580594000</v>
      </c>
      <c r="B912" s="161">
        <v>43642.33</v>
      </c>
    </row>
    <row r="913" spans="1:2" ht="12.75">
      <c r="A913" s="160">
        <v>580594455</v>
      </c>
      <c r="B913" s="161">
        <v>32819.04</v>
      </c>
    </row>
    <row r="914" spans="1:2" ht="12.75">
      <c r="A914" s="160">
        <v>580594935</v>
      </c>
      <c r="B914" s="161">
        <v>15625</v>
      </c>
    </row>
    <row r="915" spans="1:2" ht="12.75">
      <c r="A915" s="160">
        <v>580595031</v>
      </c>
      <c r="B915" s="161">
        <v>21297.46</v>
      </c>
    </row>
    <row r="916" spans="1:2" ht="12.75">
      <c r="A916" s="160">
        <v>580595411</v>
      </c>
      <c r="B916" s="161">
        <v>51497.95</v>
      </c>
    </row>
    <row r="917" spans="1:2" ht="12.75">
      <c r="A917" s="160">
        <v>580596005</v>
      </c>
      <c r="B917" s="161">
        <v>4107.5</v>
      </c>
    </row>
    <row r="918" spans="1:2" ht="12.75">
      <c r="A918" s="160">
        <v>580596377</v>
      </c>
      <c r="B918" s="161">
        <v>17483.19</v>
      </c>
    </row>
    <row r="919" spans="1:2" ht="12.75">
      <c r="A919" s="160">
        <v>580597862</v>
      </c>
      <c r="B919" s="161">
        <v>27041.55</v>
      </c>
    </row>
    <row r="920" spans="1:2" ht="12.75">
      <c r="A920" s="160">
        <v>580598183</v>
      </c>
      <c r="B920" s="161">
        <v>80322.74</v>
      </c>
    </row>
    <row r="921" spans="1:2" ht="12.75">
      <c r="A921" s="160">
        <v>580598993</v>
      </c>
      <c r="B921" s="161">
        <v>26079.61</v>
      </c>
    </row>
    <row r="922" spans="1:2" ht="12.75">
      <c r="A922" s="160">
        <v>580599173</v>
      </c>
      <c r="B922" s="161">
        <v>243296.2</v>
      </c>
    </row>
    <row r="923" spans="1:2" ht="12.75">
      <c r="A923" s="160">
        <v>580599660</v>
      </c>
      <c r="B923" s="161">
        <v>36838</v>
      </c>
    </row>
    <row r="924" spans="1:2" ht="12.75">
      <c r="A924" s="160">
        <v>580600328</v>
      </c>
      <c r="B924" s="161">
        <v>6431.59</v>
      </c>
    </row>
    <row r="925" spans="1:2" ht="12.75">
      <c r="A925" s="160">
        <v>580600377</v>
      </c>
      <c r="B925" s="161">
        <v>36241.6</v>
      </c>
    </row>
    <row r="926" spans="1:2" ht="12.75">
      <c r="A926" s="160">
        <v>580600583</v>
      </c>
      <c r="B926" s="161">
        <v>7057.43</v>
      </c>
    </row>
    <row r="927" spans="1:2" ht="12.75">
      <c r="A927" s="160">
        <v>580600997</v>
      </c>
      <c r="B927" s="161">
        <v>9094.13</v>
      </c>
    </row>
    <row r="928" spans="1:2" ht="12.75">
      <c r="A928" s="160">
        <v>580601755</v>
      </c>
      <c r="B928" s="161">
        <v>30184.21</v>
      </c>
    </row>
    <row r="929" spans="1:2" ht="12.75">
      <c r="A929" s="160">
        <v>580602613</v>
      </c>
      <c r="B929" s="161">
        <v>7869.71</v>
      </c>
    </row>
    <row r="930" spans="1:2" ht="12.75">
      <c r="A930" s="160">
        <v>580603025</v>
      </c>
      <c r="B930" s="161">
        <v>124285.72</v>
      </c>
    </row>
    <row r="931" spans="1:2" ht="12.75">
      <c r="A931" s="160">
        <v>580603207</v>
      </c>
      <c r="B931" s="161">
        <v>36732.68</v>
      </c>
    </row>
    <row r="932" spans="1:2" ht="12.75">
      <c r="A932" s="160">
        <v>580603454</v>
      </c>
      <c r="B932" s="161">
        <v>60307.29</v>
      </c>
    </row>
    <row r="933" spans="1:2" ht="12.75">
      <c r="A933" s="160">
        <v>580603892</v>
      </c>
      <c r="B933" s="161">
        <v>206441.69</v>
      </c>
    </row>
    <row r="934" spans="1:2" ht="12.75">
      <c r="A934" s="160">
        <v>580604528</v>
      </c>
      <c r="B934" s="161">
        <v>111026.1</v>
      </c>
    </row>
    <row r="935" spans="1:2" ht="12.75">
      <c r="A935" s="160">
        <v>580605350</v>
      </c>
      <c r="B935" s="161">
        <v>28516.14</v>
      </c>
    </row>
    <row r="936" spans="1:2" ht="12.75">
      <c r="A936" s="160">
        <v>580605632</v>
      </c>
      <c r="B936" s="161">
        <v>23741.43</v>
      </c>
    </row>
    <row r="937" spans="1:2" ht="12.75">
      <c r="A937" s="160">
        <v>580605699</v>
      </c>
      <c r="B937" s="161">
        <v>257682.1</v>
      </c>
    </row>
    <row r="938" spans="1:2" ht="12.75">
      <c r="A938" s="160">
        <v>580606549</v>
      </c>
      <c r="B938" s="161">
        <v>23836.02</v>
      </c>
    </row>
    <row r="939" spans="1:2" ht="12.75">
      <c r="A939" s="160">
        <v>580606994</v>
      </c>
      <c r="B939" s="161">
        <v>12918.13</v>
      </c>
    </row>
    <row r="940" spans="1:2" ht="12.75">
      <c r="A940" s="160">
        <v>580607257</v>
      </c>
      <c r="B940" s="161">
        <v>71135.4</v>
      </c>
    </row>
    <row r="941" spans="1:2" ht="12.75">
      <c r="A941" s="160">
        <v>580608164</v>
      </c>
      <c r="B941" s="161">
        <v>149082.21</v>
      </c>
    </row>
    <row r="942" spans="1:2" ht="12.75">
      <c r="A942" s="160">
        <v>580608420</v>
      </c>
      <c r="B942" s="161">
        <v>28811.9</v>
      </c>
    </row>
    <row r="943" spans="1:2" ht="12.75">
      <c r="A943" s="160">
        <v>580608685</v>
      </c>
      <c r="B943" s="161">
        <v>144019.7</v>
      </c>
    </row>
    <row r="944" spans="1:2" ht="12.75">
      <c r="A944" s="160">
        <v>580609105</v>
      </c>
      <c r="B944" s="161">
        <v>5214.05</v>
      </c>
    </row>
    <row r="945" spans="1:2" ht="12.75">
      <c r="A945" s="160">
        <v>580610079</v>
      </c>
      <c r="B945" s="161">
        <v>141054.23</v>
      </c>
    </row>
    <row r="946" spans="1:2" ht="12.75">
      <c r="A946" s="160">
        <v>580610210</v>
      </c>
      <c r="B946" s="161">
        <v>7912.32</v>
      </c>
    </row>
    <row r="947" spans="1:2" ht="12.75">
      <c r="A947" s="160">
        <v>580611234</v>
      </c>
      <c r="B947" s="161">
        <v>25640.09</v>
      </c>
    </row>
    <row r="948" spans="1:2" ht="12.75">
      <c r="A948" s="160">
        <v>580612059</v>
      </c>
      <c r="B948" s="161">
        <v>104916.18</v>
      </c>
    </row>
    <row r="949" spans="1:2" ht="12.75">
      <c r="A949" s="160">
        <v>580612778</v>
      </c>
      <c r="B949" s="161">
        <v>15144.67</v>
      </c>
    </row>
    <row r="950" spans="1:2" ht="12.75">
      <c r="A950" s="160">
        <v>580613420</v>
      </c>
      <c r="B950" s="161">
        <v>31422.48</v>
      </c>
    </row>
    <row r="951" spans="1:2" ht="12.75">
      <c r="A951" s="160">
        <v>580613578</v>
      </c>
      <c r="B951" s="161">
        <v>31422.48</v>
      </c>
    </row>
    <row r="952" spans="1:2" ht="12.75">
      <c r="A952" s="160">
        <v>580613685</v>
      </c>
      <c r="B952" s="161">
        <v>49228.56</v>
      </c>
    </row>
    <row r="953" spans="1:2" ht="12.75">
      <c r="A953" s="160">
        <v>580613693</v>
      </c>
      <c r="B953" s="160">
        <v>736.72</v>
      </c>
    </row>
    <row r="954" spans="1:2" ht="12.75">
      <c r="A954" s="160">
        <v>580614063</v>
      </c>
      <c r="B954" s="161">
        <v>79254.48</v>
      </c>
    </row>
    <row r="955" spans="1:2" ht="12.75">
      <c r="A955" s="160">
        <v>580614386</v>
      </c>
      <c r="B955" s="161">
        <v>45045.31</v>
      </c>
    </row>
    <row r="956" spans="1:2" ht="12.75">
      <c r="A956" s="160">
        <v>580614907</v>
      </c>
      <c r="B956" s="161">
        <v>136687.8</v>
      </c>
    </row>
    <row r="957" spans="1:2" ht="12.75">
      <c r="A957" s="160">
        <v>580615904</v>
      </c>
      <c r="B957" s="161">
        <v>47482.86</v>
      </c>
    </row>
    <row r="958" spans="1:2" ht="12.75">
      <c r="A958" s="160">
        <v>580616027</v>
      </c>
      <c r="B958" s="161">
        <v>13801.04</v>
      </c>
    </row>
    <row r="959" spans="1:2" ht="12.75">
      <c r="A959" s="160">
        <v>580616118</v>
      </c>
      <c r="B959" s="161">
        <v>9505.38</v>
      </c>
    </row>
    <row r="960" spans="1:2" ht="12.75">
      <c r="A960" s="160">
        <v>580616860</v>
      </c>
      <c r="B960" s="161">
        <v>21799.94</v>
      </c>
    </row>
    <row r="961" spans="1:2" ht="12.75">
      <c r="A961" s="160">
        <v>580618122</v>
      </c>
      <c r="B961" s="161">
        <v>427786.16</v>
      </c>
    </row>
    <row r="962" spans="1:2" ht="12.75">
      <c r="A962" s="160">
        <v>580620318</v>
      </c>
      <c r="B962" s="161">
        <v>5757.97</v>
      </c>
    </row>
    <row r="963" spans="1:2" ht="12.75">
      <c r="A963" s="160">
        <v>580621241</v>
      </c>
      <c r="B963" s="161">
        <v>38491.94</v>
      </c>
    </row>
    <row r="964" spans="1:2" ht="12.75">
      <c r="A964" s="160">
        <v>580621274</v>
      </c>
      <c r="B964" s="161">
        <v>22398.3</v>
      </c>
    </row>
    <row r="965" spans="1:2" ht="12.75">
      <c r="A965" s="160">
        <v>580621910</v>
      </c>
      <c r="B965" s="161">
        <v>23616.95</v>
      </c>
    </row>
    <row r="966" spans="1:2" ht="12.75">
      <c r="A966" s="160">
        <v>580624765</v>
      </c>
      <c r="B966" s="161">
        <v>47657.43</v>
      </c>
    </row>
    <row r="967" spans="1:2" ht="12.75">
      <c r="A967" s="160">
        <v>580625739</v>
      </c>
      <c r="B967" s="161">
        <v>10899.97</v>
      </c>
    </row>
    <row r="968" spans="1:2" ht="12.75">
      <c r="A968" s="160">
        <v>580626471</v>
      </c>
      <c r="B968" s="161">
        <v>64142.13</v>
      </c>
    </row>
    <row r="969" spans="1:2" ht="12.75">
      <c r="A969" s="160">
        <v>580626489</v>
      </c>
      <c r="B969" s="161">
        <v>31402.92</v>
      </c>
    </row>
    <row r="970" spans="1:2" ht="12.75">
      <c r="A970" s="160">
        <v>580626687</v>
      </c>
      <c r="B970" s="161">
        <v>21585.98</v>
      </c>
    </row>
    <row r="971" spans="1:2" ht="12.75">
      <c r="A971" s="160">
        <v>580627669</v>
      </c>
      <c r="B971" s="161">
        <v>18322.34</v>
      </c>
    </row>
    <row r="972" spans="1:2" ht="12.75">
      <c r="A972" s="160">
        <v>580628659</v>
      </c>
      <c r="B972" s="161">
        <v>17176.96</v>
      </c>
    </row>
    <row r="973" spans="1:2" ht="12.75">
      <c r="A973" s="160">
        <v>580629962</v>
      </c>
      <c r="B973" s="161">
        <v>153364.01</v>
      </c>
    </row>
    <row r="974" spans="1:2" ht="12.75">
      <c r="A974" s="160">
        <v>580630234</v>
      </c>
      <c r="B974" s="161">
        <v>256791.5</v>
      </c>
    </row>
    <row r="975" spans="1:2" ht="12.75">
      <c r="A975" s="160">
        <v>580630622</v>
      </c>
      <c r="B975" s="161">
        <v>111357.86</v>
      </c>
    </row>
    <row r="976" spans="1:2" ht="12.75">
      <c r="A976" s="160">
        <v>580631513</v>
      </c>
      <c r="B976" s="161">
        <v>72159.9</v>
      </c>
    </row>
    <row r="977" spans="1:2" ht="12.75">
      <c r="A977" s="160">
        <v>580631802</v>
      </c>
      <c r="B977" s="161">
        <v>37155.81</v>
      </c>
    </row>
    <row r="978" spans="1:2" ht="12.75">
      <c r="A978" s="160">
        <v>580632107</v>
      </c>
      <c r="B978" s="161">
        <v>54366.4</v>
      </c>
    </row>
    <row r="979" spans="1:2" ht="12.75">
      <c r="A979" s="160">
        <v>580632495</v>
      </c>
      <c r="B979" s="161">
        <v>19666.94</v>
      </c>
    </row>
    <row r="980" spans="1:2" ht="12.75">
      <c r="A980" s="160">
        <v>580632503</v>
      </c>
      <c r="B980" s="161">
        <v>30649.46</v>
      </c>
    </row>
    <row r="981" spans="1:2" ht="12.75">
      <c r="A981" s="160">
        <v>580632594</v>
      </c>
      <c r="B981" s="161">
        <v>102995.91</v>
      </c>
    </row>
    <row r="982" spans="1:2" ht="12.75">
      <c r="A982" s="160">
        <v>580632974</v>
      </c>
      <c r="B982" s="161">
        <v>30348.84</v>
      </c>
    </row>
    <row r="983" spans="1:2" ht="12.75">
      <c r="A983" s="160">
        <v>580634335</v>
      </c>
      <c r="B983" s="161">
        <v>71224.29</v>
      </c>
    </row>
    <row r="984" spans="1:2" ht="12.75">
      <c r="A984" s="160">
        <v>580635027</v>
      </c>
      <c r="B984" s="161">
        <v>71049.72</v>
      </c>
    </row>
    <row r="985" spans="1:2" ht="12.75">
      <c r="A985" s="160">
        <v>580635498</v>
      </c>
      <c r="B985" s="161">
        <v>9980.09</v>
      </c>
    </row>
    <row r="986" spans="1:2" ht="12.75">
      <c r="A986" s="160">
        <v>580636264</v>
      </c>
      <c r="B986" s="161">
        <v>21220</v>
      </c>
    </row>
    <row r="987" spans="1:2" ht="12.75">
      <c r="A987" s="160">
        <v>580636819</v>
      </c>
      <c r="B987" s="161">
        <v>22452.54</v>
      </c>
    </row>
    <row r="988" spans="1:2" ht="12.75">
      <c r="A988" s="160">
        <v>580637601</v>
      </c>
      <c r="B988" s="161">
        <v>57180.76</v>
      </c>
    </row>
    <row r="989" spans="1:2" ht="12.75">
      <c r="A989" s="160">
        <v>580638096</v>
      </c>
      <c r="B989" s="161">
        <v>83741.12</v>
      </c>
    </row>
    <row r="990" spans="1:2" ht="12.75">
      <c r="A990" s="160">
        <v>580638898</v>
      </c>
      <c r="B990" s="161">
        <v>10677.82</v>
      </c>
    </row>
    <row r="991" spans="1:2" ht="12.75">
      <c r="A991" s="160">
        <v>580639656</v>
      </c>
      <c r="B991" s="161">
        <v>16953.65</v>
      </c>
    </row>
    <row r="992" spans="1:2" ht="12.75">
      <c r="A992" s="160">
        <v>580640084</v>
      </c>
      <c r="B992" s="161">
        <v>16860.46</v>
      </c>
    </row>
    <row r="993" spans="1:2" ht="12.75">
      <c r="A993" s="160">
        <v>580640266</v>
      </c>
      <c r="B993" s="161">
        <v>21297.46</v>
      </c>
    </row>
    <row r="994" spans="1:2" ht="12.75">
      <c r="A994" s="160">
        <v>580641140</v>
      </c>
      <c r="B994" s="161">
        <v>21297.46</v>
      </c>
    </row>
    <row r="995" spans="1:2" ht="12.75">
      <c r="A995" s="160">
        <v>580641579</v>
      </c>
      <c r="B995" s="161">
        <v>69710.02</v>
      </c>
    </row>
    <row r="996" spans="1:2" ht="12.75">
      <c r="A996" s="160">
        <v>580641603</v>
      </c>
      <c r="B996" s="161">
        <v>2712.6</v>
      </c>
    </row>
    <row r="997" spans="1:2" ht="12.75">
      <c r="A997" s="160">
        <v>580641892</v>
      </c>
      <c r="B997" s="161">
        <v>22452.54</v>
      </c>
    </row>
    <row r="998" spans="1:2" ht="12.75">
      <c r="A998" s="160">
        <v>580642106</v>
      </c>
      <c r="B998" s="161">
        <v>64306.71</v>
      </c>
    </row>
    <row r="999" spans="1:2" ht="12.75">
      <c r="A999" s="160">
        <v>580643369</v>
      </c>
      <c r="B999" s="161">
        <v>64590.65</v>
      </c>
    </row>
    <row r="1000" spans="1:2" ht="12.75">
      <c r="A1000" s="160">
        <v>580644839</v>
      </c>
      <c r="B1000" s="161">
        <v>5656.06</v>
      </c>
    </row>
    <row r="1001" spans="1:2" ht="12.75">
      <c r="A1001" s="160">
        <v>580645166</v>
      </c>
      <c r="B1001" s="161">
        <v>73198.13</v>
      </c>
    </row>
    <row r="1002" spans="1:2" ht="12.75">
      <c r="A1002" s="160">
        <v>580645711</v>
      </c>
      <c r="B1002" s="161">
        <v>115032.68</v>
      </c>
    </row>
    <row r="1003" spans="1:2" ht="12.75">
      <c r="A1003" s="160">
        <v>580646602</v>
      </c>
      <c r="B1003" s="161">
        <v>14289</v>
      </c>
    </row>
    <row r="1004" spans="1:2" ht="12.75">
      <c r="A1004" s="160">
        <v>580647774</v>
      </c>
      <c r="B1004" s="161">
        <v>8396.97</v>
      </c>
    </row>
    <row r="1005" spans="1:2" ht="12.75">
      <c r="A1005" s="160">
        <v>580648889</v>
      </c>
      <c r="B1005" s="161">
        <v>65701.14</v>
      </c>
    </row>
    <row r="1006" spans="1:2" ht="12.75">
      <c r="A1006" s="160">
        <v>580649291</v>
      </c>
      <c r="B1006" s="161">
        <v>44965.5</v>
      </c>
    </row>
    <row r="1007" spans="1:2" ht="12.75">
      <c r="A1007" s="160">
        <v>580649358</v>
      </c>
      <c r="B1007" s="161">
        <v>74148.18</v>
      </c>
    </row>
    <row r="1008" spans="1:2" ht="12.75">
      <c r="A1008" s="160">
        <v>580650935</v>
      </c>
      <c r="B1008" s="161">
        <v>21297.46</v>
      </c>
    </row>
    <row r="1009" spans="1:2" ht="12.75">
      <c r="A1009" s="160">
        <v>580651925</v>
      </c>
      <c r="B1009" s="161">
        <v>47164.61</v>
      </c>
    </row>
    <row r="1010" spans="1:2" ht="12.75">
      <c r="A1010" s="160">
        <v>580652600</v>
      </c>
      <c r="B1010" s="161">
        <v>13725.71</v>
      </c>
    </row>
    <row r="1011" spans="1:2" ht="12.75">
      <c r="A1011" s="160">
        <v>580653376</v>
      </c>
      <c r="B1011" s="161">
        <v>10821.44</v>
      </c>
    </row>
    <row r="1012" spans="1:2" ht="12.75">
      <c r="A1012" s="160">
        <v>580653756</v>
      </c>
      <c r="B1012" s="161">
        <v>36998.51</v>
      </c>
    </row>
    <row r="1013" spans="1:2" ht="12.75">
      <c r="A1013" s="160">
        <v>580654465</v>
      </c>
      <c r="B1013" s="161">
        <v>61246.82</v>
      </c>
    </row>
    <row r="1014" spans="1:2" ht="12.75">
      <c r="A1014" s="160">
        <v>580655447</v>
      </c>
      <c r="B1014" s="161">
        <v>2959.55</v>
      </c>
    </row>
    <row r="1015" spans="1:2" ht="12.75">
      <c r="A1015" s="160">
        <v>580659456</v>
      </c>
      <c r="B1015" s="161">
        <v>104741.59</v>
      </c>
    </row>
    <row r="1016" spans="1:2" ht="12.75">
      <c r="A1016" s="160">
        <v>580660108</v>
      </c>
      <c r="B1016" s="161">
        <v>63368.67</v>
      </c>
    </row>
    <row r="1017" spans="1:2" ht="12.75">
      <c r="A1017" s="160">
        <v>580661676</v>
      </c>
      <c r="B1017" s="161">
        <v>11630.28</v>
      </c>
    </row>
    <row r="1018" spans="1:2" ht="12.75">
      <c r="A1018" s="160">
        <v>580664654</v>
      </c>
      <c r="B1018" s="161">
        <v>40088.83</v>
      </c>
    </row>
    <row r="1019" spans="1:2" ht="12.75">
      <c r="A1019" s="160">
        <v>580664837</v>
      </c>
      <c r="B1019" s="161">
        <v>24447.2</v>
      </c>
    </row>
    <row r="1020" spans="1:2" ht="12.75">
      <c r="A1020" s="160">
        <v>580665933</v>
      </c>
      <c r="B1020" s="161">
        <v>21220</v>
      </c>
    </row>
    <row r="1021" spans="1:2" ht="12.75">
      <c r="A1021" s="160">
        <v>580666113</v>
      </c>
      <c r="B1021" s="161">
        <v>9560.81</v>
      </c>
    </row>
    <row r="1022" spans="1:2" ht="12.75">
      <c r="A1022" s="160">
        <v>580666352</v>
      </c>
      <c r="B1022" s="161">
        <v>24447.2</v>
      </c>
    </row>
    <row r="1023" spans="1:2" ht="12.75">
      <c r="A1023" s="160">
        <v>580667665</v>
      </c>
      <c r="B1023" s="161">
        <v>9335.2</v>
      </c>
    </row>
    <row r="1024" spans="1:2" ht="12.75">
      <c r="A1024" s="160">
        <v>580667707</v>
      </c>
      <c r="B1024" s="161">
        <v>5259.79</v>
      </c>
    </row>
    <row r="1025" spans="1:2" ht="12.75">
      <c r="A1025" s="160">
        <v>580669257</v>
      </c>
      <c r="B1025" s="161">
        <v>4329.77</v>
      </c>
    </row>
    <row r="1026" spans="1:2" ht="12.75">
      <c r="A1026" s="160">
        <v>580670412</v>
      </c>
      <c r="B1026" s="161">
        <v>9111.16</v>
      </c>
    </row>
    <row r="1027" spans="1:2" ht="12.75">
      <c r="A1027" s="160">
        <v>580671311</v>
      </c>
      <c r="B1027" s="161">
        <v>4167.24</v>
      </c>
    </row>
    <row r="1028" spans="1:2" ht="12.75">
      <c r="A1028" s="160">
        <v>580675528</v>
      </c>
      <c r="B1028" s="161">
        <v>11659.19</v>
      </c>
    </row>
    <row r="1029" spans="1:2" ht="12.75">
      <c r="A1029" s="160">
        <v>580676138</v>
      </c>
      <c r="B1029" s="161">
        <v>2794.79</v>
      </c>
    </row>
    <row r="1030" spans="1:2" ht="12.75">
      <c r="A1030" s="160">
        <v>580676583</v>
      </c>
      <c r="B1030" s="161">
        <v>13585.66</v>
      </c>
    </row>
    <row r="1031" spans="1:2" ht="12.75">
      <c r="A1031" s="160">
        <v>580677243</v>
      </c>
      <c r="B1031" s="161">
        <v>21220</v>
      </c>
    </row>
    <row r="1032" spans="1:2" ht="12.75">
      <c r="A1032" s="160">
        <v>580677896</v>
      </c>
      <c r="B1032" s="161">
        <v>2504.66</v>
      </c>
    </row>
    <row r="1033" spans="1:2" ht="12.75">
      <c r="A1033" s="160">
        <v>580687143</v>
      </c>
      <c r="B1033" s="161">
        <v>36241.6</v>
      </c>
    </row>
    <row r="1034" spans="1:2" ht="12.75">
      <c r="A1034" s="160">
        <v>580906121</v>
      </c>
      <c r="B1034" s="161">
        <v>10195.84</v>
      </c>
    </row>
    <row r="1035" spans="1:2" ht="12.75">
      <c r="A1035" s="160">
        <v>581052728</v>
      </c>
      <c r="B1035" s="161">
        <v>35557</v>
      </c>
    </row>
    <row r="1036" spans="1:2" ht="12.75">
      <c r="A1036" s="160">
        <v>999999998</v>
      </c>
      <c r="B1036" s="161">
        <v>2228.21</v>
      </c>
    </row>
    <row r="1037" spans="1:2" ht="12.75">
      <c r="A1037" s="160">
        <v>999999999</v>
      </c>
      <c r="B1037" s="161">
        <v>124243.83</v>
      </c>
    </row>
    <row r="1038" spans="1:2" ht="12.75">
      <c r="A1038" s="160"/>
      <c r="B1038" s="161"/>
    </row>
    <row r="1039" spans="1:2" ht="12.75">
      <c r="A1039" s="160"/>
      <c r="B1039" s="161"/>
    </row>
    <row r="1040" spans="1:2" ht="12.75">
      <c r="A1040" s="160"/>
      <c r="B1040" s="161"/>
    </row>
    <row r="1041" spans="1:2" ht="12.75">
      <c r="A1041" s="160"/>
      <c r="B1041" s="161"/>
    </row>
    <row r="1042" spans="1:2" ht="12.75">
      <c r="A1042" s="160"/>
      <c r="B1042" s="161"/>
    </row>
    <row r="1043" spans="1:2" ht="12.75">
      <c r="A1043" s="160"/>
      <c r="B1043" s="161"/>
    </row>
    <row r="1044" spans="1:2" ht="12.75">
      <c r="A1044" s="160"/>
      <c r="B1044" s="161"/>
    </row>
    <row r="1045" spans="1:2" ht="12.75">
      <c r="A1045" s="160"/>
      <c r="B1045" s="161"/>
    </row>
    <row r="1046" spans="1:2" ht="12.75">
      <c r="A1046" s="160"/>
      <c r="B1046" s="161"/>
    </row>
    <row r="1047" spans="1:2" ht="12.75">
      <c r="A1047" s="160"/>
      <c r="B1047" s="1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051"/>
  <sheetViews>
    <sheetView rightToLeft="1" zoomScalePageLayoutView="0" workbookViewId="0" topLeftCell="A1">
      <selection activeCell="A1" sqref="A1:B16384"/>
    </sheetView>
  </sheetViews>
  <sheetFormatPr defaultColWidth="9.140625" defaultRowHeight="12.75"/>
  <cols>
    <col min="2" max="2" width="11.421875" style="0" bestFit="1" customWidth="1"/>
  </cols>
  <sheetData>
    <row r="2" spans="1:2" ht="12.75">
      <c r="A2" s="160"/>
      <c r="B2" s="160"/>
    </row>
    <row r="3" spans="1:2" ht="12.75">
      <c r="A3" s="160"/>
      <c r="B3" s="161"/>
    </row>
    <row r="4" spans="1:2" ht="12.75">
      <c r="A4" s="160"/>
      <c r="B4" s="161"/>
    </row>
    <row r="5" spans="1:2" ht="12.75">
      <c r="A5" s="160"/>
      <c r="B5" s="161"/>
    </row>
    <row r="6" spans="1:2" ht="12.75">
      <c r="A6" s="160"/>
      <c r="B6" s="161"/>
    </row>
    <row r="7" spans="1:2" ht="12.75">
      <c r="A7" s="160"/>
      <c r="B7" s="161"/>
    </row>
    <row r="8" spans="1:2" ht="12.75">
      <c r="A8" s="160"/>
      <c r="B8" s="161"/>
    </row>
    <row r="9" spans="1:2" ht="12.75">
      <c r="A9" s="160"/>
      <c r="B9" s="161"/>
    </row>
    <row r="10" spans="1:2" ht="12.75">
      <c r="A10" s="160"/>
      <c r="B10" s="161"/>
    </row>
    <row r="11" spans="1:2" ht="12.75">
      <c r="A11" s="160"/>
      <c r="B11" s="161"/>
    </row>
    <row r="12" spans="1:2" ht="12.75">
      <c r="A12" s="160"/>
      <c r="B12" s="161"/>
    </row>
    <row r="13" spans="1:2" ht="12.75">
      <c r="A13" s="160"/>
      <c r="B13" s="161"/>
    </row>
    <row r="14" spans="1:2" ht="12.75">
      <c r="A14" s="160"/>
      <c r="B14" s="160"/>
    </row>
    <row r="15" spans="1:2" ht="12.75">
      <c r="A15" s="160"/>
      <c r="B15" s="161"/>
    </row>
    <row r="16" spans="1:2" ht="12.75">
      <c r="A16" s="160"/>
      <c r="B16" s="161"/>
    </row>
    <row r="17" spans="1:2" ht="12.75">
      <c r="A17" s="160"/>
      <c r="B17" s="161"/>
    </row>
    <row r="18" spans="1:2" ht="12.75">
      <c r="A18" s="160"/>
      <c r="B18" s="160"/>
    </row>
    <row r="19" spans="1:2" ht="12.75">
      <c r="A19" s="160"/>
      <c r="B19" s="161"/>
    </row>
    <row r="20" spans="1:2" ht="12.75">
      <c r="A20" s="160"/>
      <c r="B20" s="161"/>
    </row>
    <row r="21" spans="1:2" ht="12.75">
      <c r="A21" s="160"/>
      <c r="B21" s="161"/>
    </row>
    <row r="22" spans="1:2" ht="12.75">
      <c r="A22" s="160"/>
      <c r="B22" s="161"/>
    </row>
    <row r="23" spans="1:2" ht="12.75">
      <c r="A23" s="160"/>
      <c r="B23" s="161"/>
    </row>
    <row r="24" spans="1:2" ht="12.75">
      <c r="A24" s="160"/>
      <c r="B24" s="161"/>
    </row>
    <row r="25" spans="1:2" ht="12.75">
      <c r="A25" s="160"/>
      <c r="B25" s="161"/>
    </row>
    <row r="26" spans="1:2" ht="12.75">
      <c r="A26" s="160"/>
      <c r="B26" s="160"/>
    </row>
    <row r="27" spans="1:2" ht="12.75">
      <c r="A27" s="160"/>
      <c r="B27" s="161"/>
    </row>
    <row r="28" spans="1:2" ht="12.75">
      <c r="A28" s="160"/>
      <c r="B28" s="161"/>
    </row>
    <row r="29" spans="1:2" ht="12.75">
      <c r="A29" s="160"/>
      <c r="B29" s="161"/>
    </row>
    <row r="30" spans="1:2" ht="12.75">
      <c r="A30" s="160"/>
      <c r="B30" s="161"/>
    </row>
    <row r="31" spans="1:2" ht="12.75">
      <c r="A31" s="160"/>
      <c r="B31" s="161"/>
    </row>
    <row r="32" spans="1:2" ht="12.75">
      <c r="A32" s="160"/>
      <c r="B32" s="161"/>
    </row>
    <row r="33" spans="1:2" ht="12.75">
      <c r="A33" s="160"/>
      <c r="B33" s="161"/>
    </row>
    <row r="34" spans="1:2" ht="12.75">
      <c r="A34" s="160"/>
      <c r="B34" s="161"/>
    </row>
    <row r="35" spans="1:2" ht="12.75">
      <c r="A35" s="160"/>
      <c r="B35" s="161"/>
    </row>
    <row r="36" spans="1:2" ht="12.75">
      <c r="A36" s="160"/>
      <c r="B36" s="161"/>
    </row>
    <row r="37" spans="1:2" ht="12.75">
      <c r="A37" s="160"/>
      <c r="B37" s="161"/>
    </row>
    <row r="38" spans="1:2" ht="12.75">
      <c r="A38" s="160"/>
      <c r="B38" s="160"/>
    </row>
    <row r="39" spans="1:2" ht="12.75">
      <c r="A39" s="160"/>
      <c r="B39" s="161"/>
    </row>
    <row r="40" spans="1:2" ht="12.75">
      <c r="A40" s="160"/>
      <c r="B40" s="161"/>
    </row>
    <row r="41" spans="1:2" ht="12.75">
      <c r="A41" s="160"/>
      <c r="B41" s="161"/>
    </row>
    <row r="42" spans="1:2" ht="12.75">
      <c r="A42" s="160"/>
      <c r="B42" s="160"/>
    </row>
    <row r="43" spans="1:2" ht="12.75">
      <c r="A43" s="160"/>
      <c r="B43" s="161"/>
    </row>
    <row r="44" spans="1:2" ht="12.75">
      <c r="A44" s="160"/>
      <c r="B44" s="161"/>
    </row>
    <row r="45" spans="1:2" ht="12.75">
      <c r="A45" s="160"/>
      <c r="B45" s="161"/>
    </row>
    <row r="46" spans="1:2" ht="12.75">
      <c r="A46" s="160"/>
      <c r="B46" s="161"/>
    </row>
    <row r="47" spans="1:2" ht="12.75">
      <c r="A47" s="160"/>
      <c r="B47" s="160"/>
    </row>
    <row r="48" spans="1:2" ht="12.75">
      <c r="A48" s="160"/>
      <c r="B48" s="161"/>
    </row>
    <row r="49" spans="1:2" ht="12.75">
      <c r="A49" s="160"/>
      <c r="B49" s="160"/>
    </row>
    <row r="50" spans="1:2" ht="12.75">
      <c r="A50" s="160"/>
      <c r="B50" s="160"/>
    </row>
    <row r="51" spans="1:2" ht="12.75">
      <c r="A51" s="160"/>
      <c r="B51" s="161"/>
    </row>
    <row r="52" spans="1:2" ht="12.75">
      <c r="A52" s="160"/>
      <c r="B52" s="161"/>
    </row>
    <row r="53" spans="1:2" ht="12.75">
      <c r="A53" s="160"/>
      <c r="B53" s="161"/>
    </row>
    <row r="54" spans="1:2" ht="12.75">
      <c r="A54" s="160"/>
      <c r="B54" s="160"/>
    </row>
    <row r="55" spans="1:2" ht="12.75">
      <c r="A55" s="160"/>
      <c r="B55" s="160"/>
    </row>
    <row r="56" spans="1:2" ht="12.75">
      <c r="A56" s="160"/>
      <c r="B56" s="161"/>
    </row>
    <row r="57" spans="1:2" ht="12.75">
      <c r="A57" s="160"/>
      <c r="B57" s="161"/>
    </row>
    <row r="58" spans="1:2" ht="12.75">
      <c r="A58" s="160"/>
      <c r="B58" s="161"/>
    </row>
    <row r="59" spans="1:2" ht="12.75">
      <c r="A59" s="160"/>
      <c r="B59" s="161"/>
    </row>
    <row r="60" spans="1:2" ht="12.75">
      <c r="A60" s="160"/>
      <c r="B60" s="161"/>
    </row>
    <row r="61" spans="1:2" ht="12.75">
      <c r="A61" s="160"/>
      <c r="B61" s="161"/>
    </row>
    <row r="62" spans="1:2" ht="12.75">
      <c r="A62" s="160"/>
      <c r="B62" s="161"/>
    </row>
    <row r="63" spans="1:2" ht="12.75">
      <c r="A63" s="160"/>
      <c r="B63" s="161"/>
    </row>
    <row r="64" spans="1:2" ht="12.75">
      <c r="A64" s="160"/>
      <c r="B64" s="161"/>
    </row>
    <row r="65" spans="1:2" ht="12.75">
      <c r="A65" s="160"/>
      <c r="B65" s="161"/>
    </row>
    <row r="66" spans="1:2" ht="12.75">
      <c r="A66" s="160"/>
      <c r="B66" s="161"/>
    </row>
    <row r="67" spans="1:2" ht="12.75">
      <c r="A67" s="160"/>
      <c r="B67" s="161"/>
    </row>
    <row r="68" spans="1:2" ht="12.75">
      <c r="A68" s="160"/>
      <c r="B68" s="161"/>
    </row>
    <row r="69" spans="1:2" ht="12.75">
      <c r="A69" s="160"/>
      <c r="B69" s="161"/>
    </row>
    <row r="70" spans="1:2" ht="12.75">
      <c r="A70" s="160"/>
      <c r="B70" s="161"/>
    </row>
    <row r="71" spans="1:2" ht="12.75">
      <c r="A71" s="160"/>
      <c r="B71" s="161"/>
    </row>
    <row r="72" spans="1:2" ht="12.75">
      <c r="A72" s="160"/>
      <c r="B72" s="161"/>
    </row>
    <row r="73" spans="1:2" ht="12.75">
      <c r="A73" s="160"/>
      <c r="B73" s="161"/>
    </row>
    <row r="74" spans="1:2" ht="12.75">
      <c r="A74" s="160"/>
      <c r="B74" s="161"/>
    </row>
    <row r="75" spans="1:2" ht="12.75">
      <c r="A75" s="160"/>
      <c r="B75" s="161"/>
    </row>
    <row r="76" spans="1:2" ht="12.75">
      <c r="A76" s="160"/>
      <c r="B76" s="161"/>
    </row>
    <row r="77" spans="1:2" ht="12.75">
      <c r="A77" s="160"/>
      <c r="B77" s="161"/>
    </row>
    <row r="78" spans="1:2" ht="12.75">
      <c r="A78" s="160"/>
      <c r="B78" s="161"/>
    </row>
    <row r="79" spans="1:2" ht="12.75">
      <c r="A79" s="160"/>
      <c r="B79" s="161"/>
    </row>
    <row r="80" spans="1:2" ht="12.75">
      <c r="A80" s="160"/>
      <c r="B80" s="161"/>
    </row>
    <row r="81" spans="1:2" ht="12.75">
      <c r="A81" s="160"/>
      <c r="B81" s="161"/>
    </row>
    <row r="82" spans="1:2" ht="12.75">
      <c r="A82" s="160"/>
      <c r="B82" s="161"/>
    </row>
    <row r="83" spans="1:2" ht="12.75">
      <c r="A83" s="160"/>
      <c r="B83" s="161"/>
    </row>
    <row r="84" spans="1:2" ht="12.75">
      <c r="A84" s="160"/>
      <c r="B84" s="161"/>
    </row>
    <row r="85" spans="1:2" ht="12.75">
      <c r="A85" s="160"/>
      <c r="B85" s="161"/>
    </row>
    <row r="86" spans="1:2" ht="12.75">
      <c r="A86" s="160"/>
      <c r="B86" s="161"/>
    </row>
    <row r="87" spans="1:2" ht="12.75">
      <c r="A87" s="160"/>
      <c r="B87" s="161"/>
    </row>
    <row r="88" spans="1:2" ht="12.75">
      <c r="A88" s="160"/>
      <c r="B88" s="161"/>
    </row>
    <row r="89" spans="1:2" ht="12.75">
      <c r="A89" s="160"/>
      <c r="B89" s="161"/>
    </row>
    <row r="90" spans="1:2" ht="12.75">
      <c r="A90" s="160"/>
      <c r="B90" s="161"/>
    </row>
    <row r="91" spans="1:2" ht="12.75">
      <c r="A91" s="160"/>
      <c r="B91" s="161"/>
    </row>
    <row r="92" spans="1:2" ht="12.75">
      <c r="A92" s="160"/>
      <c r="B92" s="161"/>
    </row>
    <row r="93" spans="1:2" ht="12.75">
      <c r="A93" s="160"/>
      <c r="B93" s="161"/>
    </row>
    <row r="94" spans="1:2" ht="12.75">
      <c r="A94" s="160"/>
      <c r="B94" s="161"/>
    </row>
    <row r="95" spans="1:2" ht="12.75">
      <c r="A95" s="160"/>
      <c r="B95" s="161"/>
    </row>
    <row r="96" spans="1:2" ht="12.75">
      <c r="A96" s="160"/>
      <c r="B96" s="161"/>
    </row>
    <row r="97" spans="1:2" ht="12.75">
      <c r="A97" s="160"/>
      <c r="B97" s="161"/>
    </row>
    <row r="98" spans="1:2" ht="12.75">
      <c r="A98" s="160"/>
      <c r="B98" s="161"/>
    </row>
    <row r="99" spans="1:2" ht="12.75">
      <c r="A99" s="160"/>
      <c r="B99" s="161"/>
    </row>
    <row r="100" spans="1:2" ht="12.75">
      <c r="A100" s="160"/>
      <c r="B100" s="161"/>
    </row>
    <row r="101" spans="1:2" ht="12.75">
      <c r="A101" s="160"/>
      <c r="B101" s="161"/>
    </row>
    <row r="102" spans="1:2" ht="12.75">
      <c r="A102" s="160"/>
      <c r="B102" s="161"/>
    </row>
    <row r="103" spans="1:2" ht="12.75">
      <c r="A103" s="160"/>
      <c r="B103" s="161"/>
    </row>
    <row r="104" spans="1:2" ht="12.75">
      <c r="A104" s="160"/>
      <c r="B104" s="161"/>
    </row>
    <row r="105" spans="1:2" ht="12.75">
      <c r="A105" s="160"/>
      <c r="B105" s="161"/>
    </row>
    <row r="106" spans="1:2" ht="12.75">
      <c r="A106" s="160"/>
      <c r="B106" s="161"/>
    </row>
    <row r="107" spans="1:2" ht="12.75">
      <c r="A107" s="160"/>
      <c r="B107" s="161"/>
    </row>
    <row r="108" spans="1:2" ht="12.75">
      <c r="A108" s="160"/>
      <c r="B108" s="161"/>
    </row>
    <row r="109" spans="1:2" ht="12.75">
      <c r="A109" s="160"/>
      <c r="B109" s="161"/>
    </row>
    <row r="110" spans="1:2" ht="12.75">
      <c r="A110" s="160"/>
      <c r="B110" s="161"/>
    </row>
    <row r="111" spans="1:2" ht="12.75">
      <c r="A111" s="160"/>
      <c r="B111" s="161"/>
    </row>
    <row r="112" spans="1:2" ht="12.75">
      <c r="A112" s="160"/>
      <c r="B112" s="161"/>
    </row>
    <row r="113" spans="1:2" ht="12.75">
      <c r="A113" s="160"/>
      <c r="B113" s="161"/>
    </row>
    <row r="114" spans="1:2" ht="12.75">
      <c r="A114" s="160"/>
      <c r="B114" s="161"/>
    </row>
    <row r="115" spans="1:2" ht="12.75">
      <c r="A115" s="160"/>
      <c r="B115" s="161"/>
    </row>
    <row r="116" spans="1:2" ht="12.75">
      <c r="A116" s="160"/>
      <c r="B116" s="161"/>
    </row>
    <row r="117" spans="1:2" ht="12.75">
      <c r="A117" s="160"/>
      <c r="B117" s="161"/>
    </row>
    <row r="118" spans="1:2" ht="12.75">
      <c r="A118" s="160"/>
      <c r="B118" s="161"/>
    </row>
    <row r="119" spans="1:2" ht="12.75">
      <c r="A119" s="160"/>
      <c r="B119" s="161"/>
    </row>
    <row r="120" spans="1:2" ht="12.75">
      <c r="A120" s="160"/>
      <c r="B120" s="161"/>
    </row>
    <row r="121" spans="1:2" ht="12.75">
      <c r="A121" s="160"/>
      <c r="B121" s="161"/>
    </row>
    <row r="122" spans="1:2" ht="12.75">
      <c r="A122" s="160"/>
      <c r="B122" s="161"/>
    </row>
    <row r="123" spans="1:2" ht="12.75">
      <c r="A123" s="160"/>
      <c r="B123" s="161"/>
    </row>
    <row r="124" spans="1:2" ht="12.75">
      <c r="A124" s="160"/>
      <c r="B124" s="161"/>
    </row>
    <row r="125" spans="1:2" ht="12.75">
      <c r="A125" s="160"/>
      <c r="B125" s="161"/>
    </row>
    <row r="126" spans="1:2" ht="12.75">
      <c r="A126" s="160"/>
      <c r="B126" s="161"/>
    </row>
    <row r="127" spans="1:2" ht="12.75">
      <c r="A127" s="160"/>
      <c r="B127" s="161"/>
    </row>
    <row r="128" spans="1:2" ht="12.75">
      <c r="A128" s="160"/>
      <c r="B128" s="161"/>
    </row>
    <row r="129" spans="1:2" ht="12.75">
      <c r="A129" s="160"/>
      <c r="B129" s="161"/>
    </row>
    <row r="130" spans="1:2" ht="12.75">
      <c r="A130" s="160"/>
      <c r="B130" s="161"/>
    </row>
    <row r="131" spans="1:2" ht="12.75">
      <c r="A131" s="160"/>
      <c r="B131" s="161"/>
    </row>
    <row r="132" spans="1:2" ht="12.75">
      <c r="A132" s="160"/>
      <c r="B132" s="161"/>
    </row>
    <row r="133" spans="1:2" ht="12.75">
      <c r="A133" s="160"/>
      <c r="B133" s="161"/>
    </row>
    <row r="134" spans="1:2" ht="12.75">
      <c r="A134" s="160"/>
      <c r="B134" s="161"/>
    </row>
    <row r="135" spans="1:2" ht="12.75">
      <c r="A135" s="160"/>
      <c r="B135" s="161"/>
    </row>
    <row r="136" spans="1:2" ht="12.75">
      <c r="A136" s="160"/>
      <c r="B136" s="161"/>
    </row>
    <row r="137" spans="1:2" ht="12.75">
      <c r="A137" s="160"/>
      <c r="B137" s="161"/>
    </row>
    <row r="138" spans="1:2" ht="12.75">
      <c r="A138" s="160"/>
      <c r="B138" s="161"/>
    </row>
    <row r="139" spans="1:2" ht="12.75">
      <c r="A139" s="160"/>
      <c r="B139" s="161"/>
    </row>
    <row r="140" spans="1:2" ht="12.75">
      <c r="A140" s="160"/>
      <c r="B140" s="161"/>
    </row>
    <row r="141" spans="1:2" ht="12.75">
      <c r="A141" s="160"/>
      <c r="B141" s="161"/>
    </row>
    <row r="142" spans="1:2" ht="12.75">
      <c r="A142" s="160"/>
      <c r="B142" s="161"/>
    </row>
    <row r="143" spans="1:2" ht="12.75">
      <c r="A143" s="160"/>
      <c r="B143" s="161"/>
    </row>
    <row r="144" spans="1:2" ht="12.75">
      <c r="A144" s="160"/>
      <c r="B144" s="161"/>
    </row>
    <row r="145" spans="1:2" ht="12.75">
      <c r="A145" s="160"/>
      <c r="B145" s="161"/>
    </row>
    <row r="146" spans="1:2" ht="12.75">
      <c r="A146" s="160"/>
      <c r="B146" s="161"/>
    </row>
    <row r="147" spans="1:2" ht="12.75">
      <c r="A147" s="160"/>
      <c r="B147" s="161"/>
    </row>
    <row r="148" spans="1:2" ht="12.75">
      <c r="A148" s="160"/>
      <c r="B148" s="161"/>
    </row>
    <row r="149" spans="1:2" ht="12.75">
      <c r="A149" s="160"/>
      <c r="B149" s="161"/>
    </row>
    <row r="150" spans="1:2" ht="12.75">
      <c r="A150" s="160"/>
      <c r="B150" s="161"/>
    </row>
    <row r="151" spans="1:2" ht="12.75">
      <c r="A151" s="160"/>
      <c r="B151" s="161"/>
    </row>
    <row r="152" spans="1:2" ht="12.75">
      <c r="A152" s="160"/>
      <c r="B152" s="161"/>
    </row>
    <row r="153" spans="1:2" ht="12.75">
      <c r="A153" s="160"/>
      <c r="B153" s="161"/>
    </row>
    <row r="154" spans="1:2" ht="12.75">
      <c r="A154" s="160"/>
      <c r="B154" s="161"/>
    </row>
    <row r="155" spans="1:2" ht="12.75">
      <c r="A155" s="160"/>
      <c r="B155" s="161"/>
    </row>
    <row r="156" spans="1:2" ht="12.75">
      <c r="A156" s="160"/>
      <c r="B156" s="161"/>
    </row>
    <row r="157" spans="1:2" ht="12.75">
      <c r="A157" s="160"/>
      <c r="B157" s="161"/>
    </row>
    <row r="158" spans="1:2" ht="12.75">
      <c r="A158" s="160"/>
      <c r="B158" s="161"/>
    </row>
    <row r="159" spans="1:2" ht="12.75">
      <c r="A159" s="160"/>
      <c r="B159" s="161"/>
    </row>
    <row r="160" spans="1:2" ht="12.75">
      <c r="A160" s="160"/>
      <c r="B160" s="161"/>
    </row>
    <row r="161" spans="1:2" ht="12.75">
      <c r="A161" s="160"/>
      <c r="B161" s="161"/>
    </row>
    <row r="162" spans="1:2" ht="12.75">
      <c r="A162" s="160"/>
      <c r="B162" s="161"/>
    </row>
    <row r="163" spans="1:2" ht="12.75">
      <c r="A163" s="160"/>
      <c r="B163" s="161"/>
    </row>
    <row r="164" spans="1:2" ht="12.75">
      <c r="A164" s="160"/>
      <c r="B164" s="161"/>
    </row>
    <row r="165" spans="1:2" ht="12.75">
      <c r="A165" s="160"/>
      <c r="B165" s="161"/>
    </row>
    <row r="166" spans="1:2" ht="12.75">
      <c r="A166" s="160"/>
      <c r="B166" s="161"/>
    </row>
    <row r="167" spans="1:2" ht="12.75">
      <c r="A167" s="160"/>
      <c r="B167" s="161"/>
    </row>
    <row r="168" spans="1:2" ht="12.75">
      <c r="A168" s="160"/>
      <c r="B168" s="161"/>
    </row>
    <row r="169" spans="1:2" ht="12.75">
      <c r="A169" s="160"/>
      <c r="B169" s="161"/>
    </row>
    <row r="170" spans="1:2" ht="12.75">
      <c r="A170" s="160"/>
      <c r="B170" s="161"/>
    </row>
    <row r="171" spans="1:2" ht="12.75">
      <c r="A171" s="160"/>
      <c r="B171" s="161"/>
    </row>
    <row r="172" spans="1:2" ht="12.75">
      <c r="A172" s="160"/>
      <c r="B172" s="161"/>
    </row>
    <row r="173" spans="1:2" ht="12.75">
      <c r="A173" s="160"/>
      <c r="B173" s="161"/>
    </row>
    <row r="174" spans="1:2" ht="12.75">
      <c r="A174" s="160"/>
      <c r="B174" s="161"/>
    </row>
    <row r="175" spans="1:2" ht="12.75">
      <c r="A175" s="160"/>
      <c r="B175" s="161"/>
    </row>
    <row r="176" spans="1:2" ht="12.75">
      <c r="A176" s="160"/>
      <c r="B176" s="161"/>
    </row>
    <row r="177" spans="1:2" ht="12.75">
      <c r="A177" s="160"/>
      <c r="B177" s="161"/>
    </row>
    <row r="178" spans="1:2" ht="12.75">
      <c r="A178" s="160"/>
      <c r="B178" s="161"/>
    </row>
    <row r="179" spans="1:2" ht="12.75">
      <c r="A179" s="160"/>
      <c r="B179" s="161"/>
    </row>
    <row r="180" spans="1:2" ht="12.75">
      <c r="A180" s="160"/>
      <c r="B180" s="161"/>
    </row>
    <row r="181" spans="1:2" ht="12.75">
      <c r="A181" s="160"/>
      <c r="B181" s="161"/>
    </row>
    <row r="182" spans="1:2" ht="12.75">
      <c r="A182" s="160"/>
      <c r="B182" s="161"/>
    </row>
    <row r="183" spans="1:2" ht="12.75">
      <c r="A183" s="160"/>
      <c r="B183" s="161"/>
    </row>
    <row r="184" spans="1:2" ht="12.75">
      <c r="A184" s="160"/>
      <c r="B184" s="161"/>
    </row>
    <row r="185" spans="1:2" ht="12.75">
      <c r="A185" s="160"/>
      <c r="B185" s="161"/>
    </row>
    <row r="186" spans="1:2" ht="12.75">
      <c r="A186" s="160"/>
      <c r="B186" s="161"/>
    </row>
    <row r="187" spans="1:2" ht="12.75">
      <c r="A187" s="160"/>
      <c r="B187" s="161"/>
    </row>
    <row r="188" spans="1:2" ht="12.75">
      <c r="A188" s="160"/>
      <c r="B188" s="161"/>
    </row>
    <row r="189" spans="1:2" ht="12.75">
      <c r="A189" s="160"/>
      <c r="B189" s="161"/>
    </row>
    <row r="190" spans="1:2" ht="12.75">
      <c r="A190" s="160"/>
      <c r="B190" s="161"/>
    </row>
    <row r="191" spans="1:2" ht="12.75">
      <c r="A191" s="160"/>
      <c r="B191" s="161"/>
    </row>
    <row r="192" spans="1:2" ht="12.75">
      <c r="A192" s="160"/>
      <c r="B192" s="161"/>
    </row>
    <row r="193" spans="1:2" ht="12.75">
      <c r="A193" s="160"/>
      <c r="B193" s="161"/>
    </row>
    <row r="194" spans="1:2" ht="12.75">
      <c r="A194" s="160"/>
      <c r="B194" s="161"/>
    </row>
    <row r="195" spans="1:2" ht="12.75">
      <c r="A195" s="160"/>
      <c r="B195" s="161"/>
    </row>
    <row r="196" spans="1:2" ht="12.75">
      <c r="A196" s="160"/>
      <c r="B196" s="161"/>
    </row>
    <row r="197" spans="1:2" ht="12.75">
      <c r="A197" s="160"/>
      <c r="B197" s="161"/>
    </row>
    <row r="198" spans="1:2" ht="12.75">
      <c r="A198" s="160"/>
      <c r="B198" s="161"/>
    </row>
    <row r="199" spans="1:2" ht="12.75">
      <c r="A199" s="160"/>
      <c r="B199" s="161"/>
    </row>
    <row r="200" spans="1:2" ht="12.75">
      <c r="A200" s="160"/>
      <c r="B200" s="161"/>
    </row>
    <row r="201" spans="1:2" ht="12.75">
      <c r="A201" s="160"/>
      <c r="B201" s="161"/>
    </row>
    <row r="202" spans="1:2" ht="12.75">
      <c r="A202" s="160"/>
      <c r="B202" s="161"/>
    </row>
    <row r="203" spans="1:2" ht="12.75">
      <c r="A203" s="160"/>
      <c r="B203" s="161"/>
    </row>
    <row r="204" spans="1:2" ht="12.75">
      <c r="A204" s="160"/>
      <c r="B204" s="161"/>
    </row>
    <row r="205" spans="1:2" ht="12.75">
      <c r="A205" s="160"/>
      <c r="B205" s="161"/>
    </row>
    <row r="206" spans="1:2" ht="12.75">
      <c r="A206" s="160"/>
      <c r="B206" s="161"/>
    </row>
    <row r="207" spans="1:2" ht="12.75">
      <c r="A207" s="160"/>
      <c r="B207" s="161"/>
    </row>
    <row r="208" spans="1:2" ht="12.75">
      <c r="A208" s="160"/>
      <c r="B208" s="161"/>
    </row>
    <row r="209" spans="1:2" ht="12.75">
      <c r="A209" s="160"/>
      <c r="B209" s="161"/>
    </row>
    <row r="210" spans="1:2" ht="12.75">
      <c r="A210" s="160"/>
      <c r="B210" s="161"/>
    </row>
    <row r="211" spans="1:2" ht="12.75">
      <c r="A211" s="160"/>
      <c r="B211" s="161"/>
    </row>
    <row r="212" spans="1:2" ht="12.75">
      <c r="A212" s="160"/>
      <c r="B212" s="161"/>
    </row>
    <row r="213" spans="1:2" ht="12.75">
      <c r="A213" s="160"/>
      <c r="B213" s="161"/>
    </row>
    <row r="214" spans="1:2" ht="12.75">
      <c r="A214" s="160"/>
      <c r="B214" s="161"/>
    </row>
    <row r="215" spans="1:2" ht="12.75">
      <c r="A215" s="160"/>
      <c r="B215" s="161"/>
    </row>
    <row r="216" spans="1:2" ht="12.75">
      <c r="A216" s="160"/>
      <c r="B216" s="161"/>
    </row>
    <row r="217" spans="1:2" ht="12.75">
      <c r="A217" s="160"/>
      <c r="B217" s="161"/>
    </row>
    <row r="218" spans="1:2" ht="12.75">
      <c r="A218" s="160"/>
      <c r="B218" s="161"/>
    </row>
    <row r="219" spans="1:2" ht="12.75">
      <c r="A219" s="160"/>
      <c r="B219" s="161"/>
    </row>
    <row r="220" spans="1:2" ht="12.75">
      <c r="A220" s="160"/>
      <c r="B220" s="161"/>
    </row>
    <row r="221" spans="1:2" ht="12.75">
      <c r="A221" s="160"/>
      <c r="B221" s="161"/>
    </row>
    <row r="222" spans="1:2" ht="12.75">
      <c r="A222" s="160"/>
      <c r="B222" s="161"/>
    </row>
    <row r="223" spans="1:2" ht="12.75">
      <c r="A223" s="160"/>
      <c r="B223" s="161"/>
    </row>
    <row r="224" spans="1:2" ht="12.75">
      <c r="A224" s="160"/>
      <c r="B224" s="161"/>
    </row>
    <row r="225" spans="1:2" ht="12.75">
      <c r="A225" s="160"/>
      <c r="B225" s="161"/>
    </row>
    <row r="226" spans="1:2" ht="12.75">
      <c r="A226" s="160"/>
      <c r="B226" s="161"/>
    </row>
    <row r="227" spans="1:2" ht="12.75">
      <c r="A227" s="160"/>
      <c r="B227" s="161"/>
    </row>
    <row r="228" spans="1:2" ht="12.75">
      <c r="A228" s="160"/>
      <c r="B228" s="161"/>
    </row>
    <row r="229" spans="1:2" ht="12.75">
      <c r="A229" s="160"/>
      <c r="B229" s="161"/>
    </row>
    <row r="230" spans="1:2" ht="12.75">
      <c r="A230" s="160"/>
      <c r="B230" s="161"/>
    </row>
    <row r="231" spans="1:2" ht="12.75">
      <c r="A231" s="160"/>
      <c r="B231" s="161"/>
    </row>
    <row r="232" spans="1:2" ht="12.75">
      <c r="A232" s="160"/>
      <c r="B232" s="161"/>
    </row>
    <row r="233" spans="1:2" ht="12.75">
      <c r="A233" s="160"/>
      <c r="B233" s="161"/>
    </row>
    <row r="234" spans="1:2" ht="12.75">
      <c r="A234" s="160"/>
      <c r="B234" s="161"/>
    </row>
    <row r="235" spans="1:2" ht="12.75">
      <c r="A235" s="160"/>
      <c r="B235" s="161"/>
    </row>
    <row r="236" spans="1:2" ht="12.75">
      <c r="A236" s="160"/>
      <c r="B236" s="161"/>
    </row>
    <row r="237" spans="1:2" ht="12.75">
      <c r="A237" s="160"/>
      <c r="B237" s="160"/>
    </row>
    <row r="238" spans="1:2" ht="12.75">
      <c r="A238" s="160"/>
      <c r="B238" s="161"/>
    </row>
    <row r="239" spans="1:2" ht="12.75">
      <c r="A239" s="160"/>
      <c r="B239" s="161"/>
    </row>
    <row r="240" spans="1:2" ht="12.75">
      <c r="A240" s="160"/>
      <c r="B240" s="161"/>
    </row>
    <row r="241" spans="1:2" ht="12.75">
      <c r="A241" s="160"/>
      <c r="B241" s="161"/>
    </row>
    <row r="242" spans="1:2" ht="12.75">
      <c r="A242" s="160"/>
      <c r="B242" s="161"/>
    </row>
    <row r="243" spans="1:2" ht="12.75">
      <c r="A243" s="160"/>
      <c r="B243" s="161"/>
    </row>
    <row r="244" spans="1:2" ht="12.75">
      <c r="A244" s="160"/>
      <c r="B244" s="161"/>
    </row>
    <row r="245" spans="1:2" ht="12.75">
      <c r="A245" s="160"/>
      <c r="B245" s="161"/>
    </row>
    <row r="246" spans="1:2" ht="12.75">
      <c r="A246" s="160"/>
      <c r="B246" s="161"/>
    </row>
    <row r="247" spans="1:2" ht="12.75">
      <c r="A247" s="160"/>
      <c r="B247" s="161"/>
    </row>
    <row r="248" spans="1:2" ht="12.75">
      <c r="A248" s="160"/>
      <c r="B248" s="161"/>
    </row>
    <row r="249" spans="1:2" ht="12.75">
      <c r="A249" s="160"/>
      <c r="B249" s="161"/>
    </row>
    <row r="250" spans="1:2" ht="12.75">
      <c r="A250" s="160"/>
      <c r="B250" s="161"/>
    </row>
    <row r="251" spans="1:2" ht="12.75">
      <c r="A251" s="160"/>
      <c r="B251" s="161"/>
    </row>
    <row r="252" spans="1:2" ht="12.75">
      <c r="A252" s="160"/>
      <c r="B252" s="161"/>
    </row>
    <row r="253" spans="1:2" ht="12.75">
      <c r="A253" s="160"/>
      <c r="B253" s="161"/>
    </row>
    <row r="254" spans="1:2" ht="12.75">
      <c r="A254" s="160"/>
      <c r="B254" s="161"/>
    </row>
    <row r="255" spans="1:2" ht="12.75">
      <c r="A255" s="160"/>
      <c r="B255" s="161"/>
    </row>
    <row r="256" spans="1:2" ht="12.75">
      <c r="A256" s="160"/>
      <c r="B256" s="161"/>
    </row>
    <row r="257" spans="1:2" ht="12.75">
      <c r="A257" s="160"/>
      <c r="B257" s="161"/>
    </row>
    <row r="258" spans="1:2" ht="12.75">
      <c r="A258" s="160"/>
      <c r="B258" s="161"/>
    </row>
    <row r="259" spans="1:2" ht="12.75">
      <c r="A259" s="160"/>
      <c r="B259" s="161"/>
    </row>
    <row r="260" spans="1:2" ht="12.75">
      <c r="A260" s="160"/>
      <c r="B260" s="161"/>
    </row>
    <row r="261" spans="1:2" ht="12.75">
      <c r="A261" s="160"/>
      <c r="B261" s="161"/>
    </row>
    <row r="262" spans="1:2" ht="12.75">
      <c r="A262" s="160"/>
      <c r="B262" s="161"/>
    </row>
    <row r="263" spans="1:2" ht="12.75">
      <c r="A263" s="160"/>
      <c r="B263" s="161"/>
    </row>
    <row r="264" spans="1:2" ht="12.75">
      <c r="A264" s="160"/>
      <c r="B264" s="161"/>
    </row>
    <row r="265" spans="1:2" ht="12.75">
      <c r="A265" s="160"/>
      <c r="B265" s="161"/>
    </row>
    <row r="266" spans="1:2" ht="12.75">
      <c r="A266" s="160"/>
      <c r="B266" s="161"/>
    </row>
    <row r="267" spans="1:2" ht="12.75">
      <c r="A267" s="160"/>
      <c r="B267" s="161"/>
    </row>
    <row r="268" spans="1:2" ht="12.75">
      <c r="A268" s="160"/>
      <c r="B268" s="161"/>
    </row>
    <row r="269" spans="1:2" ht="12.75">
      <c r="A269" s="160"/>
      <c r="B269" s="161"/>
    </row>
    <row r="270" spans="1:2" ht="12.75">
      <c r="A270" s="160"/>
      <c r="B270" s="161"/>
    </row>
    <row r="271" spans="1:2" ht="12.75">
      <c r="A271" s="160"/>
      <c r="B271" s="161"/>
    </row>
    <row r="272" spans="1:2" ht="12.75">
      <c r="A272" s="160"/>
      <c r="B272" s="161"/>
    </row>
    <row r="273" spans="1:2" ht="12.75">
      <c r="A273" s="160"/>
      <c r="B273" s="161"/>
    </row>
    <row r="274" spans="1:2" ht="12.75">
      <c r="A274" s="160"/>
      <c r="B274" s="161"/>
    </row>
    <row r="275" spans="1:2" ht="12.75">
      <c r="A275" s="160"/>
      <c r="B275" s="161"/>
    </row>
    <row r="276" spans="1:2" ht="12.75">
      <c r="A276" s="160"/>
      <c r="B276" s="161"/>
    </row>
    <row r="277" spans="1:2" ht="12.75">
      <c r="A277" s="160"/>
      <c r="B277" s="161"/>
    </row>
    <row r="278" spans="1:2" ht="12.75">
      <c r="A278" s="160"/>
      <c r="B278" s="161"/>
    </row>
    <row r="279" spans="1:2" ht="12.75">
      <c r="A279" s="160"/>
      <c r="B279" s="161"/>
    </row>
    <row r="280" spans="1:2" ht="12.75">
      <c r="A280" s="160"/>
      <c r="B280" s="161"/>
    </row>
    <row r="281" spans="1:2" ht="12.75">
      <c r="A281" s="160"/>
      <c r="B281" s="161"/>
    </row>
    <row r="282" spans="1:2" ht="12.75">
      <c r="A282" s="160"/>
      <c r="B282" s="161"/>
    </row>
    <row r="283" spans="1:2" ht="12.75">
      <c r="A283" s="160"/>
      <c r="B283" s="161"/>
    </row>
    <row r="284" spans="1:2" ht="12.75">
      <c r="A284" s="160"/>
      <c r="B284" s="161"/>
    </row>
    <row r="285" spans="1:2" ht="12.75">
      <c r="A285" s="160"/>
      <c r="B285" s="161"/>
    </row>
    <row r="286" spans="1:2" ht="12.75">
      <c r="A286" s="160"/>
      <c r="B286" s="161"/>
    </row>
    <row r="287" spans="1:2" ht="12.75">
      <c r="A287" s="160"/>
      <c r="B287" s="161"/>
    </row>
    <row r="288" spans="1:2" ht="12.75">
      <c r="A288" s="160"/>
      <c r="B288" s="161"/>
    </row>
    <row r="289" spans="1:2" ht="12.75">
      <c r="A289" s="160"/>
      <c r="B289" s="161"/>
    </row>
    <row r="290" spans="1:2" ht="12.75">
      <c r="A290" s="160"/>
      <c r="B290" s="161"/>
    </row>
    <row r="291" spans="1:2" ht="12.75">
      <c r="A291" s="160"/>
      <c r="B291" s="161"/>
    </row>
    <row r="292" spans="1:2" ht="12.75">
      <c r="A292" s="160"/>
      <c r="B292" s="161"/>
    </row>
    <row r="293" spans="1:2" ht="12.75">
      <c r="A293" s="160"/>
      <c r="B293" s="161"/>
    </row>
    <row r="294" spans="1:2" ht="12.75">
      <c r="A294" s="160"/>
      <c r="B294" s="161"/>
    </row>
    <row r="295" spans="1:2" ht="12.75">
      <c r="A295" s="160"/>
      <c r="B295" s="161"/>
    </row>
    <row r="296" spans="1:2" ht="12.75">
      <c r="A296" s="160"/>
      <c r="B296" s="161"/>
    </row>
    <row r="297" spans="1:2" ht="12.75">
      <c r="A297" s="160"/>
      <c r="B297" s="161"/>
    </row>
    <row r="298" spans="1:2" ht="12.75">
      <c r="A298" s="160"/>
      <c r="B298" s="161"/>
    </row>
    <row r="299" spans="1:2" ht="12.75">
      <c r="A299" s="160"/>
      <c r="B299" s="161"/>
    </row>
    <row r="300" spans="1:2" ht="12.75">
      <c r="A300" s="160"/>
      <c r="B300" s="161"/>
    </row>
    <row r="301" spans="1:2" ht="12.75">
      <c r="A301" s="160"/>
      <c r="B301" s="161"/>
    </row>
    <row r="302" spans="1:2" ht="12.75">
      <c r="A302" s="160"/>
      <c r="B302" s="161"/>
    </row>
    <row r="303" spans="1:2" ht="12.75">
      <c r="A303" s="160"/>
      <c r="B303" s="161"/>
    </row>
    <row r="304" spans="1:2" ht="12.75">
      <c r="A304" s="160"/>
      <c r="B304" s="161"/>
    </row>
    <row r="305" spans="1:2" ht="12.75">
      <c r="A305" s="160"/>
      <c r="B305" s="161"/>
    </row>
    <row r="306" spans="1:2" ht="12.75">
      <c r="A306" s="160"/>
      <c r="B306" s="161"/>
    </row>
    <row r="307" spans="1:2" ht="12.75">
      <c r="A307" s="160"/>
      <c r="B307" s="161"/>
    </row>
    <row r="308" spans="1:2" ht="12.75">
      <c r="A308" s="160"/>
      <c r="B308" s="161"/>
    </row>
    <row r="309" spans="1:2" ht="12.75">
      <c r="A309" s="160"/>
      <c r="B309" s="161"/>
    </row>
    <row r="310" spans="1:2" ht="12.75">
      <c r="A310" s="160"/>
      <c r="B310" s="161"/>
    </row>
    <row r="311" spans="1:2" ht="12.75">
      <c r="A311" s="160"/>
      <c r="B311" s="161"/>
    </row>
    <row r="312" spans="1:2" ht="12.75">
      <c r="A312" s="160"/>
      <c r="B312" s="161"/>
    </row>
    <row r="313" spans="1:2" ht="12.75">
      <c r="A313" s="160"/>
      <c r="B313" s="161"/>
    </row>
    <row r="314" spans="1:2" ht="12.75">
      <c r="A314" s="160"/>
      <c r="B314" s="161"/>
    </row>
    <row r="315" spans="1:2" ht="12.75">
      <c r="A315" s="160"/>
      <c r="B315" s="161"/>
    </row>
    <row r="316" spans="1:2" ht="12.75">
      <c r="A316" s="160"/>
      <c r="B316" s="161"/>
    </row>
    <row r="317" spans="1:2" ht="12.75">
      <c r="A317" s="160"/>
      <c r="B317" s="161"/>
    </row>
    <row r="318" spans="1:2" ht="12.75">
      <c r="A318" s="160"/>
      <c r="B318" s="161"/>
    </row>
    <row r="319" spans="1:2" ht="12.75">
      <c r="A319" s="160"/>
      <c r="B319" s="161"/>
    </row>
    <row r="320" spans="1:2" ht="12.75">
      <c r="A320" s="160"/>
      <c r="B320" s="161"/>
    </row>
    <row r="321" spans="1:2" ht="12.75">
      <c r="A321" s="160"/>
      <c r="B321" s="161"/>
    </row>
    <row r="322" spans="1:2" ht="12.75">
      <c r="A322" s="160"/>
      <c r="B322" s="161"/>
    </row>
    <row r="323" spans="1:2" ht="12.75">
      <c r="A323" s="160"/>
      <c r="B323" s="161"/>
    </row>
    <row r="324" spans="1:2" ht="12.75">
      <c r="A324" s="160"/>
      <c r="B324" s="161"/>
    </row>
    <row r="325" spans="1:2" ht="12.75">
      <c r="A325" s="160"/>
      <c r="B325" s="161"/>
    </row>
    <row r="326" spans="1:2" ht="12.75">
      <c r="A326" s="160"/>
      <c r="B326" s="161"/>
    </row>
    <row r="327" spans="1:2" ht="12.75">
      <c r="A327" s="160"/>
      <c r="B327" s="161"/>
    </row>
    <row r="328" spans="1:2" ht="12.75">
      <c r="A328" s="160"/>
      <c r="B328" s="161"/>
    </row>
    <row r="329" spans="1:2" ht="12.75">
      <c r="A329" s="160"/>
      <c r="B329" s="161"/>
    </row>
    <row r="330" spans="1:2" ht="12.75">
      <c r="A330" s="160"/>
      <c r="B330" s="161"/>
    </row>
    <row r="331" spans="1:2" ht="12.75">
      <c r="A331" s="160"/>
      <c r="B331" s="161"/>
    </row>
    <row r="332" spans="1:2" ht="12.75">
      <c r="A332" s="160"/>
      <c r="B332" s="161"/>
    </row>
    <row r="333" spans="1:2" ht="12.75">
      <c r="A333" s="160"/>
      <c r="B333" s="161"/>
    </row>
    <row r="334" spans="1:2" ht="12.75">
      <c r="A334" s="160"/>
      <c r="B334" s="161"/>
    </row>
    <row r="335" spans="1:2" ht="12.75">
      <c r="A335" s="160"/>
      <c r="B335" s="161"/>
    </row>
    <row r="336" spans="1:2" ht="12.75">
      <c r="A336" s="160"/>
      <c r="B336" s="161"/>
    </row>
    <row r="337" spans="1:2" ht="12.75">
      <c r="A337" s="160"/>
      <c r="B337" s="161"/>
    </row>
    <row r="338" spans="1:2" ht="12.75">
      <c r="A338" s="160"/>
      <c r="B338" s="161"/>
    </row>
    <row r="339" spans="1:2" ht="12.75">
      <c r="A339" s="160"/>
      <c r="B339" s="161"/>
    </row>
    <row r="340" spans="1:2" ht="12.75">
      <c r="A340" s="160"/>
      <c r="B340" s="161"/>
    </row>
    <row r="341" spans="1:2" ht="12.75">
      <c r="A341" s="160"/>
      <c r="B341" s="161"/>
    </row>
    <row r="342" spans="1:2" ht="12.75">
      <c r="A342" s="160"/>
      <c r="B342" s="161"/>
    </row>
    <row r="343" spans="1:2" ht="12.75">
      <c r="A343" s="160"/>
      <c r="B343" s="161"/>
    </row>
    <row r="344" spans="1:2" ht="12.75">
      <c r="A344" s="160"/>
      <c r="B344" s="161"/>
    </row>
    <row r="345" spans="1:2" ht="12.75">
      <c r="A345" s="160"/>
      <c r="B345" s="161"/>
    </row>
    <row r="346" spans="1:2" ht="12.75">
      <c r="A346" s="160"/>
      <c r="B346" s="161"/>
    </row>
    <row r="347" spans="1:2" ht="12.75">
      <c r="A347" s="160"/>
      <c r="B347" s="161"/>
    </row>
    <row r="348" spans="1:2" ht="12.75">
      <c r="A348" s="160"/>
      <c r="B348" s="161"/>
    </row>
    <row r="349" spans="1:2" ht="12.75">
      <c r="A349" s="160"/>
      <c r="B349" s="161"/>
    </row>
    <row r="350" spans="1:2" ht="12.75">
      <c r="A350" s="160"/>
      <c r="B350" s="161"/>
    </row>
    <row r="351" spans="1:2" ht="12.75">
      <c r="A351" s="160"/>
      <c r="B351" s="161"/>
    </row>
    <row r="352" spans="1:2" ht="12.75">
      <c r="A352" s="160"/>
      <c r="B352" s="161"/>
    </row>
    <row r="353" spans="1:2" ht="12.75">
      <c r="A353" s="160"/>
      <c r="B353" s="161"/>
    </row>
    <row r="354" spans="1:2" ht="12.75">
      <c r="A354" s="160"/>
      <c r="B354" s="161"/>
    </row>
    <row r="355" spans="1:2" ht="12.75">
      <c r="A355" s="160"/>
      <c r="B355" s="161"/>
    </row>
    <row r="356" spans="1:2" ht="12.75">
      <c r="A356" s="160"/>
      <c r="B356" s="161"/>
    </row>
    <row r="357" spans="1:2" ht="12.75">
      <c r="A357" s="160"/>
      <c r="B357" s="161"/>
    </row>
    <row r="358" spans="1:2" ht="12.75">
      <c r="A358" s="160"/>
      <c r="B358" s="161"/>
    </row>
    <row r="359" spans="1:2" ht="12.75">
      <c r="A359" s="160"/>
      <c r="B359" s="161"/>
    </row>
    <row r="360" spans="1:2" ht="12.75">
      <c r="A360" s="160"/>
      <c r="B360" s="161"/>
    </row>
    <row r="361" spans="1:2" ht="12.75">
      <c r="A361" s="160"/>
      <c r="B361" s="161"/>
    </row>
    <row r="362" spans="1:2" ht="12.75">
      <c r="A362" s="160"/>
      <c r="B362" s="161"/>
    </row>
    <row r="363" spans="1:2" ht="12.75">
      <c r="A363" s="160"/>
      <c r="B363" s="161"/>
    </row>
    <row r="364" spans="1:2" ht="12.75">
      <c r="A364" s="160"/>
      <c r="B364" s="161"/>
    </row>
    <row r="365" spans="1:2" ht="12.75">
      <c r="A365" s="160"/>
      <c r="B365" s="161"/>
    </row>
    <row r="366" spans="1:2" ht="12.75">
      <c r="A366" s="160"/>
      <c r="B366" s="161"/>
    </row>
    <row r="367" spans="1:2" ht="12.75">
      <c r="A367" s="160"/>
      <c r="B367" s="161"/>
    </row>
    <row r="368" spans="1:2" ht="12.75">
      <c r="A368" s="160"/>
      <c r="B368" s="161"/>
    </row>
    <row r="369" spans="1:2" ht="12.75">
      <c r="A369" s="160"/>
      <c r="B369" s="161"/>
    </row>
    <row r="370" spans="1:2" ht="12.75">
      <c r="A370" s="160"/>
      <c r="B370" s="161"/>
    </row>
    <row r="371" spans="1:2" ht="12.75">
      <c r="A371" s="160"/>
      <c r="B371" s="161"/>
    </row>
    <row r="372" spans="1:2" ht="12.75">
      <c r="A372" s="160"/>
      <c r="B372" s="161"/>
    </row>
    <row r="373" spans="1:2" ht="12.75">
      <c r="A373" s="160"/>
      <c r="B373" s="161"/>
    </row>
    <row r="374" spans="1:2" ht="12.75">
      <c r="A374" s="160"/>
      <c r="B374" s="161"/>
    </row>
    <row r="375" spans="1:2" ht="12.75">
      <c r="A375" s="160"/>
      <c r="B375" s="161"/>
    </row>
    <row r="376" spans="1:2" ht="12.75">
      <c r="A376" s="160"/>
      <c r="B376" s="161"/>
    </row>
    <row r="377" spans="1:2" ht="12.75">
      <c r="A377" s="160"/>
      <c r="B377" s="161"/>
    </row>
    <row r="378" spans="1:2" ht="12.75">
      <c r="A378" s="160"/>
      <c r="B378" s="161"/>
    </row>
    <row r="379" spans="1:2" ht="12.75">
      <c r="A379" s="160"/>
      <c r="B379" s="161"/>
    </row>
    <row r="380" spans="1:2" ht="12.75">
      <c r="A380" s="160"/>
      <c r="B380" s="161"/>
    </row>
    <row r="381" spans="1:2" ht="12.75">
      <c r="A381" s="160"/>
      <c r="B381" s="161"/>
    </row>
    <row r="382" spans="1:2" ht="12.75">
      <c r="A382" s="160"/>
      <c r="B382" s="161"/>
    </row>
    <row r="383" spans="1:2" ht="12.75">
      <c r="A383" s="160"/>
      <c r="B383" s="161"/>
    </row>
    <row r="384" spans="1:2" ht="12.75">
      <c r="A384" s="160"/>
      <c r="B384" s="161"/>
    </row>
    <row r="385" spans="1:2" ht="12.75">
      <c r="A385" s="160"/>
      <c r="B385" s="161"/>
    </row>
    <row r="386" spans="1:2" ht="12.75">
      <c r="A386" s="160"/>
      <c r="B386" s="161"/>
    </row>
    <row r="387" spans="1:2" ht="12.75">
      <c r="A387" s="160"/>
      <c r="B387" s="161"/>
    </row>
    <row r="388" spans="1:2" ht="12.75">
      <c r="A388" s="160"/>
      <c r="B388" s="161"/>
    </row>
    <row r="389" spans="1:2" ht="12.75">
      <c r="A389" s="160"/>
      <c r="B389" s="161"/>
    </row>
    <row r="390" spans="1:2" ht="12.75">
      <c r="A390" s="160"/>
      <c r="B390" s="161"/>
    </row>
    <row r="391" spans="1:2" ht="12.75">
      <c r="A391" s="160"/>
      <c r="B391" s="161"/>
    </row>
    <row r="392" spans="1:2" ht="12.75">
      <c r="A392" s="160"/>
      <c r="B392" s="161"/>
    </row>
    <row r="393" spans="1:2" ht="12.75">
      <c r="A393" s="160"/>
      <c r="B393" s="161"/>
    </row>
    <row r="394" spans="1:2" ht="12.75">
      <c r="A394" s="160"/>
      <c r="B394" s="161"/>
    </row>
    <row r="395" spans="1:2" ht="12.75">
      <c r="A395" s="160"/>
      <c r="B395" s="161"/>
    </row>
    <row r="396" spans="1:2" ht="12.75">
      <c r="A396" s="160"/>
      <c r="B396" s="161"/>
    </row>
    <row r="397" spans="1:2" ht="12.75">
      <c r="A397" s="160"/>
      <c r="B397" s="161"/>
    </row>
    <row r="398" spans="1:2" ht="12.75">
      <c r="A398" s="160"/>
      <c r="B398" s="161"/>
    </row>
    <row r="399" spans="1:2" ht="12.75">
      <c r="A399" s="160"/>
      <c r="B399" s="161"/>
    </row>
    <row r="400" spans="1:2" ht="12.75">
      <c r="A400" s="160"/>
      <c r="B400" s="161"/>
    </row>
    <row r="401" spans="1:2" ht="12.75">
      <c r="A401" s="160"/>
      <c r="B401" s="161"/>
    </row>
    <row r="402" spans="1:2" ht="12.75">
      <c r="A402" s="160"/>
      <c r="B402" s="161"/>
    </row>
    <row r="403" spans="1:2" ht="12.75">
      <c r="A403" s="160"/>
      <c r="B403" s="161"/>
    </row>
    <row r="404" spans="1:2" ht="12.75">
      <c r="A404" s="160"/>
      <c r="B404" s="160"/>
    </row>
    <row r="405" spans="1:2" ht="12.75">
      <c r="A405" s="160"/>
      <c r="B405" s="161"/>
    </row>
    <row r="406" spans="1:2" ht="12.75">
      <c r="A406" s="160"/>
      <c r="B406" s="161"/>
    </row>
    <row r="407" spans="1:2" ht="12.75">
      <c r="A407" s="160"/>
      <c r="B407" s="161"/>
    </row>
    <row r="408" spans="1:2" ht="12.75">
      <c r="A408" s="160"/>
      <c r="B408" s="161"/>
    </row>
    <row r="409" spans="1:2" ht="12.75">
      <c r="A409" s="160"/>
      <c r="B409" s="161"/>
    </row>
    <row r="410" spans="1:2" ht="12.75">
      <c r="A410" s="160"/>
      <c r="B410" s="161"/>
    </row>
    <row r="411" spans="1:2" ht="12.75">
      <c r="A411" s="160"/>
      <c r="B411" s="161"/>
    </row>
    <row r="412" spans="1:2" ht="12.75">
      <c r="A412" s="160"/>
      <c r="B412" s="161"/>
    </row>
    <row r="413" spans="1:2" ht="12.75">
      <c r="A413" s="160"/>
      <c r="B413" s="161"/>
    </row>
    <row r="414" spans="1:2" ht="12.75">
      <c r="A414" s="160"/>
      <c r="B414" s="161"/>
    </row>
    <row r="415" spans="1:2" ht="12.75">
      <c r="A415" s="160"/>
      <c r="B415" s="161"/>
    </row>
    <row r="416" spans="1:2" ht="12.75">
      <c r="A416" s="160"/>
      <c r="B416" s="161"/>
    </row>
    <row r="417" spans="1:2" ht="12.75">
      <c r="A417" s="160"/>
      <c r="B417" s="161"/>
    </row>
    <row r="418" spans="1:2" ht="12.75">
      <c r="A418" s="160"/>
      <c r="B418" s="161"/>
    </row>
    <row r="419" spans="1:2" ht="12.75">
      <c r="A419" s="160"/>
      <c r="B419" s="161"/>
    </row>
    <row r="420" spans="1:2" ht="12.75">
      <c r="A420" s="160"/>
      <c r="B420" s="161"/>
    </row>
    <row r="421" spans="1:2" ht="12.75">
      <c r="A421" s="160"/>
      <c r="B421" s="161"/>
    </row>
    <row r="422" spans="1:2" ht="12.75">
      <c r="A422" s="160"/>
      <c r="B422" s="161"/>
    </row>
    <row r="423" spans="1:2" ht="12.75">
      <c r="A423" s="160"/>
      <c r="B423" s="161"/>
    </row>
    <row r="424" spans="1:2" ht="12.75">
      <c r="A424" s="160"/>
      <c r="B424" s="161"/>
    </row>
    <row r="425" spans="1:2" ht="12.75">
      <c r="A425" s="160"/>
      <c r="B425" s="161"/>
    </row>
    <row r="426" spans="1:2" ht="12.75">
      <c r="A426" s="160"/>
      <c r="B426" s="161"/>
    </row>
    <row r="427" spans="1:2" ht="12.75">
      <c r="A427" s="160"/>
      <c r="B427" s="161"/>
    </row>
    <row r="428" spans="1:2" ht="12.75">
      <c r="A428" s="160"/>
      <c r="B428" s="161"/>
    </row>
    <row r="429" spans="1:2" ht="12.75">
      <c r="A429" s="160"/>
      <c r="B429" s="161"/>
    </row>
    <row r="430" spans="1:2" ht="12.75">
      <c r="A430" s="160"/>
      <c r="B430" s="161"/>
    </row>
    <row r="431" spans="1:2" ht="12.75">
      <c r="A431" s="160"/>
      <c r="B431" s="161"/>
    </row>
    <row r="432" spans="1:2" ht="12.75">
      <c r="A432" s="160"/>
      <c r="B432" s="161"/>
    </row>
    <row r="433" spans="1:2" ht="12.75">
      <c r="A433" s="160"/>
      <c r="B433" s="161"/>
    </row>
    <row r="434" spans="1:2" ht="12.75">
      <c r="A434" s="160"/>
      <c r="B434" s="161"/>
    </row>
    <row r="435" spans="1:2" ht="12.75">
      <c r="A435" s="160"/>
      <c r="B435" s="161"/>
    </row>
    <row r="436" spans="1:2" ht="12.75">
      <c r="A436" s="160"/>
      <c r="B436" s="161"/>
    </row>
    <row r="437" spans="1:2" ht="12.75">
      <c r="A437" s="160"/>
      <c r="B437" s="161"/>
    </row>
    <row r="438" spans="1:2" ht="12.75">
      <c r="A438" s="160"/>
      <c r="B438" s="161"/>
    </row>
    <row r="439" spans="1:2" ht="12.75">
      <c r="A439" s="160"/>
      <c r="B439" s="161"/>
    </row>
    <row r="440" spans="1:2" ht="12.75">
      <c r="A440" s="160"/>
      <c r="B440" s="161"/>
    </row>
    <row r="441" spans="1:2" ht="12.75">
      <c r="A441" s="160"/>
      <c r="B441" s="161"/>
    </row>
    <row r="442" spans="1:2" ht="12.75">
      <c r="A442" s="160"/>
      <c r="B442" s="161"/>
    </row>
    <row r="443" spans="1:2" ht="12.75">
      <c r="A443" s="160"/>
      <c r="B443" s="161"/>
    </row>
    <row r="444" spans="1:2" ht="12.75">
      <c r="A444" s="160"/>
      <c r="B444" s="161"/>
    </row>
    <row r="445" spans="1:2" ht="12.75">
      <c r="A445" s="160"/>
      <c r="B445" s="161"/>
    </row>
    <row r="446" spans="1:2" ht="12.75">
      <c r="A446" s="160"/>
      <c r="B446" s="161"/>
    </row>
    <row r="447" spans="1:2" ht="12.75">
      <c r="A447" s="160"/>
      <c r="B447" s="161"/>
    </row>
    <row r="448" spans="1:2" ht="12.75">
      <c r="A448" s="160"/>
      <c r="B448" s="161"/>
    </row>
    <row r="449" spans="1:2" ht="12.75">
      <c r="A449" s="160"/>
      <c r="B449" s="161"/>
    </row>
    <row r="450" spans="1:2" ht="12.75">
      <c r="A450" s="160"/>
      <c r="B450" s="161"/>
    </row>
    <row r="451" spans="1:2" ht="12.75">
      <c r="A451" s="160"/>
      <c r="B451" s="161"/>
    </row>
    <row r="452" spans="1:2" ht="12.75">
      <c r="A452" s="160"/>
      <c r="B452" s="161"/>
    </row>
    <row r="453" spans="1:2" ht="12.75">
      <c r="A453" s="160"/>
      <c r="B453" s="161"/>
    </row>
    <row r="454" spans="1:2" ht="12.75">
      <c r="A454" s="160"/>
      <c r="B454" s="161"/>
    </row>
    <row r="455" spans="1:2" ht="12.75">
      <c r="A455" s="160"/>
      <c r="B455" s="161"/>
    </row>
    <row r="456" spans="1:2" ht="12.75">
      <c r="A456" s="160"/>
      <c r="B456" s="161"/>
    </row>
    <row r="457" spans="1:2" ht="12.75">
      <c r="A457" s="160"/>
      <c r="B457" s="161"/>
    </row>
    <row r="458" spans="1:2" ht="12.75">
      <c r="A458" s="160"/>
      <c r="B458" s="161"/>
    </row>
    <row r="459" spans="1:2" ht="12.75">
      <c r="A459" s="160"/>
      <c r="B459" s="161"/>
    </row>
    <row r="460" spans="1:2" ht="12.75">
      <c r="A460" s="160"/>
      <c r="B460" s="161"/>
    </row>
    <row r="461" spans="1:2" ht="12.75">
      <c r="A461" s="160"/>
      <c r="B461" s="161"/>
    </row>
    <row r="462" spans="1:2" ht="12.75">
      <c r="A462" s="160"/>
      <c r="B462" s="161"/>
    </row>
    <row r="463" spans="1:2" ht="12.75">
      <c r="A463" s="160"/>
      <c r="B463" s="161"/>
    </row>
    <row r="464" spans="1:2" ht="12.75">
      <c r="A464" s="160"/>
      <c r="B464" s="161"/>
    </row>
    <row r="465" spans="1:2" ht="12.75">
      <c r="A465" s="160"/>
      <c r="B465" s="161"/>
    </row>
    <row r="466" spans="1:2" ht="12.75">
      <c r="A466" s="160"/>
      <c r="B466" s="161"/>
    </row>
    <row r="467" spans="1:2" ht="12.75">
      <c r="A467" s="160"/>
      <c r="B467" s="161"/>
    </row>
    <row r="468" spans="1:2" ht="12.75">
      <c r="A468" s="160"/>
      <c r="B468" s="161"/>
    </row>
    <row r="469" spans="1:2" ht="12.75">
      <c r="A469" s="160"/>
      <c r="B469" s="161"/>
    </row>
    <row r="470" spans="1:2" ht="12.75">
      <c r="A470" s="160"/>
      <c r="B470" s="161"/>
    </row>
    <row r="471" spans="1:2" ht="12.75">
      <c r="A471" s="160"/>
      <c r="B471" s="161"/>
    </row>
    <row r="472" spans="1:2" ht="12.75">
      <c r="A472" s="160"/>
      <c r="B472" s="161"/>
    </row>
    <row r="473" spans="1:2" ht="12.75">
      <c r="A473" s="160"/>
      <c r="B473" s="161"/>
    </row>
    <row r="474" spans="1:2" ht="12.75">
      <c r="A474" s="160"/>
      <c r="B474" s="161"/>
    </row>
    <row r="475" spans="1:2" ht="12.75">
      <c r="A475" s="160"/>
      <c r="B475" s="161"/>
    </row>
    <row r="476" spans="1:2" ht="12.75">
      <c r="A476" s="160"/>
      <c r="B476" s="161"/>
    </row>
    <row r="477" spans="1:2" ht="12.75">
      <c r="A477" s="160"/>
      <c r="B477" s="161"/>
    </row>
    <row r="478" spans="1:2" ht="12.75">
      <c r="A478" s="160"/>
      <c r="B478" s="161"/>
    </row>
    <row r="479" spans="1:2" ht="12.75">
      <c r="A479" s="160"/>
      <c r="B479" s="161"/>
    </row>
    <row r="480" spans="1:2" ht="12.75">
      <c r="A480" s="160"/>
      <c r="B480" s="161"/>
    </row>
    <row r="481" spans="1:2" ht="12.75">
      <c r="A481" s="160"/>
      <c r="B481" s="161"/>
    </row>
    <row r="482" spans="1:2" ht="12.75">
      <c r="A482" s="160"/>
      <c r="B482" s="161"/>
    </row>
    <row r="483" spans="1:2" ht="12.75">
      <c r="A483" s="160"/>
      <c r="B483" s="161"/>
    </row>
    <row r="484" spans="1:2" ht="12.75">
      <c r="A484" s="160"/>
      <c r="B484" s="161"/>
    </row>
    <row r="485" spans="1:2" ht="12.75">
      <c r="A485" s="160"/>
      <c r="B485" s="161"/>
    </row>
    <row r="486" spans="1:2" ht="12.75">
      <c r="A486" s="160"/>
      <c r="B486" s="161"/>
    </row>
    <row r="487" spans="1:2" ht="12.75">
      <c r="A487" s="160"/>
      <c r="B487" s="161"/>
    </row>
    <row r="488" spans="1:2" ht="12.75">
      <c r="A488" s="160"/>
      <c r="B488" s="161"/>
    </row>
    <row r="489" spans="1:2" ht="12.75">
      <c r="A489" s="160"/>
      <c r="B489" s="161"/>
    </row>
    <row r="490" spans="1:2" ht="12.75">
      <c r="A490" s="160"/>
      <c r="B490" s="161"/>
    </row>
    <row r="491" spans="1:2" ht="12.75">
      <c r="A491" s="160"/>
      <c r="B491" s="161"/>
    </row>
    <row r="492" spans="1:2" ht="12.75">
      <c r="A492" s="160"/>
      <c r="B492" s="161"/>
    </row>
    <row r="493" spans="1:2" ht="12.75">
      <c r="A493" s="160"/>
      <c r="B493" s="161"/>
    </row>
    <row r="494" spans="1:2" ht="12.75">
      <c r="A494" s="160"/>
      <c r="B494" s="161"/>
    </row>
    <row r="495" spans="1:2" ht="12.75">
      <c r="A495" s="160"/>
      <c r="B495" s="161"/>
    </row>
    <row r="496" spans="1:2" ht="12.75">
      <c r="A496" s="160"/>
      <c r="B496" s="161"/>
    </row>
    <row r="497" spans="1:2" ht="12.75">
      <c r="A497" s="160"/>
      <c r="B497" s="161"/>
    </row>
    <row r="498" spans="1:2" ht="12.75">
      <c r="A498" s="160"/>
      <c r="B498" s="161"/>
    </row>
    <row r="499" spans="1:2" ht="12.75">
      <c r="A499" s="160"/>
      <c r="B499" s="161"/>
    </row>
    <row r="500" spans="1:2" ht="12.75">
      <c r="A500" s="160"/>
      <c r="B500" s="161"/>
    </row>
    <row r="501" spans="1:2" ht="12.75">
      <c r="A501" s="160"/>
      <c r="B501" s="161"/>
    </row>
    <row r="502" spans="1:2" ht="12.75">
      <c r="A502" s="160"/>
      <c r="B502" s="161"/>
    </row>
    <row r="503" spans="1:2" ht="12.75">
      <c r="A503" s="160"/>
      <c r="B503" s="161"/>
    </row>
    <row r="504" spans="1:2" ht="12.75">
      <c r="A504" s="160"/>
      <c r="B504" s="161"/>
    </row>
    <row r="505" spans="1:2" ht="12.75">
      <c r="A505" s="160"/>
      <c r="B505" s="161"/>
    </row>
    <row r="506" spans="1:2" ht="12.75">
      <c r="A506" s="160"/>
      <c r="B506" s="161"/>
    </row>
    <row r="507" spans="1:2" ht="12.75">
      <c r="A507" s="160"/>
      <c r="B507" s="161"/>
    </row>
    <row r="508" spans="1:2" ht="12.75">
      <c r="A508" s="160"/>
      <c r="B508" s="161"/>
    </row>
    <row r="509" spans="1:2" ht="12.75">
      <c r="A509" s="160"/>
      <c r="B509" s="161"/>
    </row>
    <row r="510" spans="1:2" ht="12.75">
      <c r="A510" s="160"/>
      <c r="B510" s="161"/>
    </row>
    <row r="511" spans="1:2" ht="12.75">
      <c r="A511" s="160"/>
      <c r="B511" s="161"/>
    </row>
    <row r="512" spans="1:2" ht="12.75">
      <c r="A512" s="160"/>
      <c r="B512" s="161"/>
    </row>
    <row r="513" spans="1:2" ht="12.75">
      <c r="A513" s="160"/>
      <c r="B513" s="161"/>
    </row>
    <row r="514" spans="1:2" ht="12.75">
      <c r="A514" s="160"/>
      <c r="B514" s="161"/>
    </row>
    <row r="515" spans="1:2" ht="12.75">
      <c r="A515" s="160"/>
      <c r="B515" s="161"/>
    </row>
    <row r="516" spans="1:2" ht="12.75">
      <c r="A516" s="160"/>
      <c r="B516" s="161"/>
    </row>
    <row r="517" spans="1:2" ht="12.75">
      <c r="A517" s="160"/>
      <c r="B517" s="161"/>
    </row>
    <row r="518" spans="1:2" ht="12.75">
      <c r="A518" s="160"/>
      <c r="B518" s="161"/>
    </row>
    <row r="519" spans="1:2" ht="12.75">
      <c r="A519" s="160"/>
      <c r="B519" s="161"/>
    </row>
    <row r="520" spans="1:2" ht="12.75">
      <c r="A520" s="160"/>
      <c r="B520" s="161"/>
    </row>
    <row r="521" spans="1:2" ht="12.75">
      <c r="A521" s="160"/>
      <c r="B521" s="161"/>
    </row>
    <row r="522" spans="1:2" ht="12.75">
      <c r="A522" s="160"/>
      <c r="B522" s="161"/>
    </row>
    <row r="523" spans="1:2" ht="12.75">
      <c r="A523" s="160"/>
      <c r="B523" s="161"/>
    </row>
    <row r="524" spans="1:2" ht="12.75">
      <c r="A524" s="160"/>
      <c r="B524" s="161"/>
    </row>
    <row r="525" spans="1:2" ht="12.75">
      <c r="A525" s="160"/>
      <c r="B525" s="161"/>
    </row>
    <row r="526" spans="1:2" ht="12.75">
      <c r="A526" s="160"/>
      <c r="B526" s="161"/>
    </row>
    <row r="527" spans="1:2" ht="12.75">
      <c r="A527" s="160"/>
      <c r="B527" s="161"/>
    </row>
    <row r="528" spans="1:2" ht="12.75">
      <c r="A528" s="160"/>
      <c r="B528" s="161"/>
    </row>
    <row r="529" spans="1:2" ht="12.75">
      <c r="A529" s="160"/>
      <c r="B529" s="161"/>
    </row>
    <row r="530" spans="1:2" ht="12.75">
      <c r="A530" s="160"/>
      <c r="B530" s="161"/>
    </row>
    <row r="531" spans="1:2" ht="12.75">
      <c r="A531" s="160"/>
      <c r="B531" s="161"/>
    </row>
    <row r="532" spans="1:2" ht="12.75">
      <c r="A532" s="160"/>
      <c r="B532" s="161"/>
    </row>
    <row r="533" spans="1:2" ht="12.75">
      <c r="A533" s="160"/>
      <c r="B533" s="161"/>
    </row>
    <row r="534" spans="1:2" ht="12.75">
      <c r="A534" s="160"/>
      <c r="B534" s="161"/>
    </row>
    <row r="535" spans="1:2" ht="12.75">
      <c r="A535" s="160"/>
      <c r="B535" s="161"/>
    </row>
    <row r="536" spans="1:2" ht="12.75">
      <c r="A536" s="160"/>
      <c r="B536" s="161"/>
    </row>
    <row r="537" spans="1:2" ht="12.75">
      <c r="A537" s="160"/>
      <c r="B537" s="161"/>
    </row>
    <row r="538" spans="1:2" ht="12.75">
      <c r="A538" s="160"/>
      <c r="B538" s="161"/>
    </row>
    <row r="539" spans="1:2" ht="12.75">
      <c r="A539" s="160"/>
      <c r="B539" s="161"/>
    </row>
    <row r="540" spans="1:2" ht="12.75">
      <c r="A540" s="160"/>
      <c r="B540" s="161"/>
    </row>
    <row r="541" spans="1:2" ht="12.75">
      <c r="A541" s="160"/>
      <c r="B541" s="161"/>
    </row>
    <row r="542" spans="1:2" ht="12.75">
      <c r="A542" s="160"/>
      <c r="B542" s="161"/>
    </row>
    <row r="543" spans="1:2" ht="12.75">
      <c r="A543" s="160"/>
      <c r="B543" s="161"/>
    </row>
    <row r="544" spans="1:2" ht="12.75">
      <c r="A544" s="160"/>
      <c r="B544" s="161"/>
    </row>
    <row r="545" spans="1:2" ht="12.75">
      <c r="A545" s="160"/>
      <c r="B545" s="161"/>
    </row>
    <row r="546" spans="1:2" ht="12.75">
      <c r="A546" s="160"/>
      <c r="B546" s="161"/>
    </row>
    <row r="547" spans="1:2" ht="12.75">
      <c r="A547" s="160"/>
      <c r="B547" s="161"/>
    </row>
    <row r="548" spans="1:2" ht="12.75">
      <c r="A548" s="160"/>
      <c r="B548" s="161"/>
    </row>
    <row r="549" spans="1:2" ht="12.75">
      <c r="A549" s="160"/>
      <c r="B549" s="161"/>
    </row>
    <row r="550" spans="1:2" ht="12.75">
      <c r="A550" s="160"/>
      <c r="B550" s="161"/>
    </row>
    <row r="551" spans="1:2" ht="12.75">
      <c r="A551" s="160"/>
      <c r="B551" s="161"/>
    </row>
    <row r="552" spans="1:2" ht="12.75">
      <c r="A552" s="160"/>
      <c r="B552" s="161"/>
    </row>
    <row r="553" spans="1:2" ht="12.75">
      <c r="A553" s="160"/>
      <c r="B553" s="161"/>
    </row>
    <row r="554" spans="1:2" ht="12.75">
      <c r="A554" s="160"/>
      <c r="B554" s="161"/>
    </row>
    <row r="555" spans="1:2" ht="12.75">
      <c r="A555" s="160"/>
      <c r="B555" s="161"/>
    </row>
    <row r="556" spans="1:2" ht="12.75">
      <c r="A556" s="160"/>
      <c r="B556" s="161"/>
    </row>
    <row r="557" spans="1:2" ht="12.75">
      <c r="A557" s="160"/>
      <c r="B557" s="161"/>
    </row>
    <row r="558" spans="1:2" ht="12.75">
      <c r="A558" s="160"/>
      <c r="B558" s="161"/>
    </row>
    <row r="559" spans="1:2" ht="12.75">
      <c r="A559" s="160"/>
      <c r="B559" s="161"/>
    </row>
    <row r="560" spans="1:2" ht="12.75">
      <c r="A560" s="160"/>
      <c r="B560" s="161"/>
    </row>
    <row r="561" spans="1:2" ht="12.75">
      <c r="A561" s="160"/>
      <c r="B561" s="161"/>
    </row>
    <row r="562" spans="1:2" ht="12.75">
      <c r="A562" s="160"/>
      <c r="B562" s="161"/>
    </row>
    <row r="563" spans="1:2" ht="12.75">
      <c r="A563" s="160"/>
      <c r="B563" s="161"/>
    </row>
    <row r="564" spans="1:2" ht="12.75">
      <c r="A564" s="160"/>
      <c r="B564" s="161"/>
    </row>
    <row r="565" spans="1:2" ht="12.75">
      <c r="A565" s="160"/>
      <c r="B565" s="161"/>
    </row>
    <row r="566" spans="1:2" ht="12.75">
      <c r="A566" s="160"/>
      <c r="B566" s="161"/>
    </row>
    <row r="567" spans="1:2" ht="12.75">
      <c r="A567" s="160"/>
      <c r="B567" s="161"/>
    </row>
    <row r="568" spans="1:2" ht="12.75">
      <c r="A568" s="160"/>
      <c r="B568" s="161"/>
    </row>
    <row r="569" spans="1:2" ht="12.75">
      <c r="A569" s="160"/>
      <c r="B569" s="161"/>
    </row>
    <row r="570" spans="1:2" ht="12.75">
      <c r="A570" s="160"/>
      <c r="B570" s="161"/>
    </row>
    <row r="571" spans="1:2" ht="12.75">
      <c r="A571" s="160"/>
      <c r="B571" s="161"/>
    </row>
    <row r="572" spans="1:2" ht="12.75">
      <c r="A572" s="160"/>
      <c r="B572" s="161"/>
    </row>
    <row r="573" spans="1:2" ht="12.75">
      <c r="A573" s="160"/>
      <c r="B573" s="161"/>
    </row>
    <row r="574" spans="1:2" ht="12.75">
      <c r="A574" s="160"/>
      <c r="B574" s="161"/>
    </row>
    <row r="575" spans="1:2" ht="12.75">
      <c r="A575" s="160"/>
      <c r="B575" s="161"/>
    </row>
    <row r="576" spans="1:2" ht="12.75">
      <c r="A576" s="160"/>
      <c r="B576" s="161"/>
    </row>
    <row r="577" spans="1:2" ht="12.75">
      <c r="A577" s="160"/>
      <c r="B577" s="161"/>
    </row>
    <row r="578" spans="1:2" ht="12.75">
      <c r="A578" s="160"/>
      <c r="B578" s="161"/>
    </row>
    <row r="579" spans="1:2" ht="12.75">
      <c r="A579" s="160"/>
      <c r="B579" s="161"/>
    </row>
    <row r="580" spans="1:2" ht="12.75">
      <c r="A580" s="160"/>
      <c r="B580" s="161"/>
    </row>
    <row r="581" spans="1:2" ht="12.75">
      <c r="A581" s="160"/>
      <c r="B581" s="161"/>
    </row>
    <row r="582" spans="1:2" ht="12.75">
      <c r="A582" s="160"/>
      <c r="B582" s="161"/>
    </row>
    <row r="583" spans="1:2" ht="12.75">
      <c r="A583" s="160"/>
      <c r="B583" s="161"/>
    </row>
    <row r="584" spans="1:2" ht="12.75">
      <c r="A584" s="160"/>
      <c r="B584" s="161"/>
    </row>
    <row r="585" spans="1:2" ht="12.75">
      <c r="A585" s="160"/>
      <c r="B585" s="161"/>
    </row>
    <row r="586" spans="1:2" ht="12.75">
      <c r="A586" s="160"/>
      <c r="B586" s="161"/>
    </row>
    <row r="587" spans="1:2" ht="12.75">
      <c r="A587" s="160"/>
      <c r="B587" s="161"/>
    </row>
    <row r="588" spans="1:2" ht="12.75">
      <c r="A588" s="160"/>
      <c r="B588" s="161"/>
    </row>
    <row r="589" spans="1:2" ht="12.75">
      <c r="A589" s="160"/>
      <c r="B589" s="161"/>
    </row>
    <row r="590" spans="1:2" ht="12.75">
      <c r="A590" s="160"/>
      <c r="B590" s="161"/>
    </row>
    <row r="591" spans="1:2" ht="12.75">
      <c r="A591" s="160"/>
      <c r="B591" s="161"/>
    </row>
    <row r="592" spans="1:2" ht="12.75">
      <c r="A592" s="160"/>
      <c r="B592" s="161"/>
    </row>
    <row r="593" spans="1:2" ht="12.75">
      <c r="A593" s="160"/>
      <c r="B593" s="161"/>
    </row>
    <row r="594" spans="1:2" ht="12.75">
      <c r="A594" s="160"/>
      <c r="B594" s="161"/>
    </row>
    <row r="595" spans="1:2" ht="12.75">
      <c r="A595" s="160"/>
      <c r="B595" s="161"/>
    </row>
    <row r="596" spans="1:2" ht="12.75">
      <c r="A596" s="160"/>
      <c r="B596" s="161"/>
    </row>
    <row r="597" spans="1:2" ht="12.75">
      <c r="A597" s="160"/>
      <c r="B597" s="161"/>
    </row>
    <row r="598" spans="1:2" ht="12.75">
      <c r="A598" s="160"/>
      <c r="B598" s="161"/>
    </row>
    <row r="599" spans="1:2" ht="12.75">
      <c r="A599" s="160"/>
      <c r="B599" s="161"/>
    </row>
    <row r="600" spans="1:2" ht="12.75">
      <c r="A600" s="160"/>
      <c r="B600" s="161"/>
    </row>
    <row r="601" spans="1:2" ht="12.75">
      <c r="A601" s="160"/>
      <c r="B601" s="161"/>
    </row>
    <row r="602" spans="1:2" ht="12.75">
      <c r="A602" s="160"/>
      <c r="B602" s="161"/>
    </row>
    <row r="603" spans="1:2" ht="12.75">
      <c r="A603" s="160"/>
      <c r="B603" s="161"/>
    </row>
    <row r="604" spans="1:2" ht="12.75">
      <c r="A604" s="160"/>
      <c r="B604" s="161"/>
    </row>
    <row r="605" spans="1:2" ht="12.75">
      <c r="A605" s="160"/>
      <c r="B605" s="161"/>
    </row>
    <row r="606" spans="1:2" ht="12.75">
      <c r="A606" s="160"/>
      <c r="B606" s="161"/>
    </row>
    <row r="607" spans="1:2" ht="12.75">
      <c r="A607" s="160"/>
      <c r="B607" s="161"/>
    </row>
    <row r="608" spans="1:2" ht="12.75">
      <c r="A608" s="160"/>
      <c r="B608" s="161"/>
    </row>
    <row r="609" spans="1:2" ht="12.75">
      <c r="A609" s="160"/>
      <c r="B609" s="161"/>
    </row>
    <row r="610" spans="1:2" ht="12.75">
      <c r="A610" s="160"/>
      <c r="B610" s="161"/>
    </row>
    <row r="611" spans="1:2" ht="12.75">
      <c r="A611" s="160"/>
      <c r="B611" s="161"/>
    </row>
    <row r="612" spans="1:2" ht="12.75">
      <c r="A612" s="160"/>
      <c r="B612" s="161"/>
    </row>
    <row r="613" spans="1:2" ht="12.75">
      <c r="A613" s="160"/>
      <c r="B613" s="161"/>
    </row>
    <row r="614" spans="1:2" ht="12.75">
      <c r="A614" s="160"/>
      <c r="B614" s="161"/>
    </row>
    <row r="615" spans="1:2" ht="12.75">
      <c r="A615" s="160"/>
      <c r="B615" s="161"/>
    </row>
    <row r="616" spans="1:2" ht="12.75">
      <c r="A616" s="160"/>
      <c r="B616" s="161"/>
    </row>
    <row r="617" spans="1:2" ht="12.75">
      <c r="A617" s="160"/>
      <c r="B617" s="161"/>
    </row>
    <row r="618" spans="1:2" ht="12.75">
      <c r="A618" s="160"/>
      <c r="B618" s="161"/>
    </row>
    <row r="619" spans="1:2" ht="12.75">
      <c r="A619" s="160"/>
      <c r="B619" s="161"/>
    </row>
    <row r="620" spans="1:2" ht="12.75">
      <c r="A620" s="160"/>
      <c r="B620" s="161"/>
    </row>
    <row r="621" spans="1:2" ht="12.75">
      <c r="A621" s="160"/>
      <c r="B621" s="161"/>
    </row>
    <row r="622" spans="1:2" ht="12.75">
      <c r="A622" s="160"/>
      <c r="B622" s="161"/>
    </row>
    <row r="623" spans="1:2" ht="12.75">
      <c r="A623" s="160"/>
      <c r="B623" s="161"/>
    </row>
    <row r="624" spans="1:2" ht="12.75">
      <c r="A624" s="160"/>
      <c r="B624" s="161"/>
    </row>
    <row r="625" spans="1:2" ht="12.75">
      <c r="A625" s="160"/>
      <c r="B625" s="161"/>
    </row>
    <row r="626" spans="1:2" ht="12.75">
      <c r="A626" s="160"/>
      <c r="B626" s="161"/>
    </row>
    <row r="627" spans="1:2" ht="12.75">
      <c r="A627" s="160"/>
      <c r="B627" s="161"/>
    </row>
    <row r="628" spans="1:2" ht="12.75">
      <c r="A628" s="160"/>
      <c r="B628" s="161"/>
    </row>
    <row r="629" spans="1:2" ht="12.75">
      <c r="A629" s="160"/>
      <c r="B629" s="161"/>
    </row>
    <row r="630" spans="1:2" ht="12.75">
      <c r="A630" s="160"/>
      <c r="B630" s="161"/>
    </row>
    <row r="631" spans="1:2" ht="12.75">
      <c r="A631" s="160"/>
      <c r="B631" s="161"/>
    </row>
    <row r="632" spans="1:2" ht="12.75">
      <c r="A632" s="160"/>
      <c r="B632" s="161"/>
    </row>
    <row r="633" spans="1:2" ht="12.75">
      <c r="A633" s="160"/>
      <c r="B633" s="161"/>
    </row>
    <row r="634" spans="1:2" ht="12.75">
      <c r="A634" s="160"/>
      <c r="B634" s="161"/>
    </row>
    <row r="635" spans="1:2" ht="12.75">
      <c r="A635" s="160"/>
      <c r="B635" s="161"/>
    </row>
    <row r="636" spans="1:2" ht="12.75">
      <c r="A636" s="160"/>
      <c r="B636" s="161"/>
    </row>
    <row r="637" spans="1:2" ht="12.75">
      <c r="A637" s="160"/>
      <c r="B637" s="161"/>
    </row>
    <row r="638" spans="1:2" ht="12.75">
      <c r="A638" s="160"/>
      <c r="B638" s="161"/>
    </row>
    <row r="639" spans="1:2" ht="12.75">
      <c r="A639" s="160"/>
      <c r="B639" s="161"/>
    </row>
    <row r="640" spans="1:2" ht="12.75">
      <c r="A640" s="160"/>
      <c r="B640" s="161"/>
    </row>
    <row r="641" spans="1:2" ht="12.75">
      <c r="A641" s="160"/>
      <c r="B641" s="161"/>
    </row>
    <row r="642" spans="1:2" ht="12.75">
      <c r="A642" s="160"/>
      <c r="B642" s="161"/>
    </row>
    <row r="643" spans="1:2" ht="12.75">
      <c r="A643" s="160"/>
      <c r="B643" s="161"/>
    </row>
    <row r="644" spans="1:2" ht="12.75">
      <c r="A644" s="160"/>
      <c r="B644" s="161"/>
    </row>
    <row r="645" spans="1:2" ht="12.75">
      <c r="A645" s="160"/>
      <c r="B645" s="161"/>
    </row>
    <row r="646" spans="1:2" ht="12.75">
      <c r="A646" s="160"/>
      <c r="B646" s="161"/>
    </row>
    <row r="647" spans="1:2" ht="12.75">
      <c r="A647" s="160"/>
      <c r="B647" s="161"/>
    </row>
    <row r="648" spans="1:2" ht="12.75">
      <c r="A648" s="160"/>
      <c r="B648" s="161"/>
    </row>
    <row r="649" spans="1:2" ht="12.75">
      <c r="A649" s="160"/>
      <c r="B649" s="161"/>
    </row>
    <row r="650" spans="1:2" ht="12.75">
      <c r="A650" s="160"/>
      <c r="B650" s="161"/>
    </row>
    <row r="651" spans="1:2" ht="12.75">
      <c r="A651" s="160"/>
      <c r="B651" s="161"/>
    </row>
    <row r="652" spans="1:2" ht="12.75">
      <c r="A652" s="160"/>
      <c r="B652" s="161"/>
    </row>
    <row r="653" spans="1:2" ht="12.75">
      <c r="A653" s="160"/>
      <c r="B653" s="161"/>
    </row>
    <row r="654" spans="1:2" ht="12.75">
      <c r="A654" s="160"/>
      <c r="B654" s="161"/>
    </row>
    <row r="655" spans="1:2" ht="12.75">
      <c r="A655" s="160"/>
      <c r="B655" s="161"/>
    </row>
    <row r="656" spans="1:2" ht="12.75">
      <c r="A656" s="160"/>
      <c r="B656" s="161"/>
    </row>
    <row r="657" spans="1:2" ht="12.75">
      <c r="A657" s="160"/>
      <c r="B657" s="161"/>
    </row>
    <row r="658" spans="1:2" ht="12.75">
      <c r="A658" s="160"/>
      <c r="B658" s="161"/>
    </row>
    <row r="659" spans="1:2" ht="12.75">
      <c r="A659" s="160"/>
      <c r="B659" s="161"/>
    </row>
    <row r="660" spans="1:2" ht="12.75">
      <c r="A660" s="160"/>
      <c r="B660" s="161"/>
    </row>
    <row r="661" spans="1:2" ht="12.75">
      <c r="A661" s="160"/>
      <c r="B661" s="160"/>
    </row>
    <row r="662" spans="1:2" ht="12.75">
      <c r="A662" s="160"/>
      <c r="B662" s="161"/>
    </row>
    <row r="663" spans="1:2" ht="12.75">
      <c r="A663" s="160"/>
      <c r="B663" s="160"/>
    </row>
    <row r="664" spans="1:2" ht="12.75">
      <c r="A664" s="160"/>
      <c r="B664" s="161"/>
    </row>
    <row r="665" spans="1:2" ht="12.75">
      <c r="A665" s="160"/>
      <c r="B665" s="161"/>
    </row>
    <row r="666" spans="1:2" ht="12.75">
      <c r="A666" s="160"/>
      <c r="B666" s="161"/>
    </row>
    <row r="667" spans="1:2" ht="12.75">
      <c r="A667" s="160"/>
      <c r="B667" s="161"/>
    </row>
    <row r="668" spans="1:2" ht="12.75">
      <c r="A668" s="160"/>
      <c r="B668" s="161"/>
    </row>
    <row r="669" spans="1:2" ht="12.75">
      <c r="A669" s="160"/>
      <c r="B669" s="161"/>
    </row>
    <row r="670" spans="1:2" ht="12.75">
      <c r="A670" s="160"/>
      <c r="B670" s="161"/>
    </row>
    <row r="671" spans="1:2" ht="12.75">
      <c r="A671" s="160"/>
      <c r="B671" s="161"/>
    </row>
    <row r="672" spans="1:2" ht="12.75">
      <c r="A672" s="160"/>
      <c r="B672" s="161"/>
    </row>
    <row r="673" spans="1:2" ht="12.75">
      <c r="A673" s="160"/>
      <c r="B673" s="161"/>
    </row>
    <row r="674" spans="1:2" ht="12.75">
      <c r="A674" s="160"/>
      <c r="B674" s="161"/>
    </row>
    <row r="675" spans="1:2" ht="12.75">
      <c r="A675" s="160"/>
      <c r="B675" s="161"/>
    </row>
    <row r="676" spans="1:2" ht="12.75">
      <c r="A676" s="160"/>
      <c r="B676" s="161"/>
    </row>
    <row r="677" spans="1:2" ht="12.75">
      <c r="A677" s="160"/>
      <c r="B677" s="161"/>
    </row>
    <row r="678" spans="1:2" ht="12.75">
      <c r="A678" s="160"/>
      <c r="B678" s="161"/>
    </row>
    <row r="679" spans="1:2" ht="12.75">
      <c r="A679" s="160"/>
      <c r="B679" s="161"/>
    </row>
    <row r="680" spans="1:2" ht="12.75">
      <c r="A680" s="160"/>
      <c r="B680" s="161"/>
    </row>
    <row r="681" spans="1:2" ht="12.75">
      <c r="A681" s="160"/>
      <c r="B681" s="161"/>
    </row>
    <row r="682" spans="1:2" ht="12.75">
      <c r="A682" s="160"/>
      <c r="B682" s="161"/>
    </row>
    <row r="683" spans="1:2" ht="12.75">
      <c r="A683" s="160"/>
      <c r="B683" s="161"/>
    </row>
    <row r="684" spans="1:2" ht="12.75">
      <c r="A684" s="160"/>
      <c r="B684" s="161"/>
    </row>
    <row r="685" spans="1:2" ht="12.75">
      <c r="A685" s="160"/>
      <c r="B685" s="161"/>
    </row>
    <row r="686" spans="1:2" ht="12.75">
      <c r="A686" s="160"/>
      <c r="B686" s="161"/>
    </row>
    <row r="687" spans="1:2" ht="12.75">
      <c r="A687" s="160"/>
      <c r="B687" s="161"/>
    </row>
    <row r="688" spans="1:2" ht="12.75">
      <c r="A688" s="160"/>
      <c r="B688" s="161"/>
    </row>
    <row r="689" spans="1:2" ht="12.75">
      <c r="A689" s="160"/>
      <c r="B689" s="161"/>
    </row>
    <row r="690" spans="1:2" ht="12.75">
      <c r="A690" s="160"/>
      <c r="B690" s="161"/>
    </row>
    <row r="691" spans="1:2" ht="12.75">
      <c r="A691" s="160"/>
      <c r="B691" s="161"/>
    </row>
    <row r="692" spans="1:2" ht="12.75">
      <c r="A692" s="160"/>
      <c r="B692" s="161"/>
    </row>
    <row r="693" spans="1:2" ht="12.75">
      <c r="A693" s="160"/>
      <c r="B693" s="161"/>
    </row>
    <row r="694" spans="1:2" ht="12.75">
      <c r="A694" s="160"/>
      <c r="B694" s="161"/>
    </row>
    <row r="695" spans="1:2" ht="12.75">
      <c r="A695" s="160"/>
      <c r="B695" s="161"/>
    </row>
    <row r="696" spans="1:2" ht="12.75">
      <c r="A696" s="160"/>
      <c r="B696" s="161"/>
    </row>
    <row r="697" spans="1:2" ht="12.75">
      <c r="A697" s="160"/>
      <c r="B697" s="161"/>
    </row>
    <row r="698" spans="1:2" ht="12.75">
      <c r="A698" s="160"/>
      <c r="B698" s="161"/>
    </row>
    <row r="699" spans="1:2" ht="12.75">
      <c r="A699" s="160"/>
      <c r="B699" s="161"/>
    </row>
    <row r="700" spans="1:2" ht="12.75">
      <c r="A700" s="160"/>
      <c r="B700" s="161"/>
    </row>
    <row r="701" spans="1:2" ht="12.75">
      <c r="A701" s="160"/>
      <c r="B701" s="161"/>
    </row>
    <row r="702" spans="1:2" ht="12.75">
      <c r="A702" s="160"/>
      <c r="B702" s="161"/>
    </row>
    <row r="703" spans="1:2" ht="12.75">
      <c r="A703" s="160"/>
      <c r="B703" s="161"/>
    </row>
    <row r="704" spans="1:2" ht="12.75">
      <c r="A704" s="160"/>
      <c r="B704" s="161"/>
    </row>
    <row r="705" spans="1:2" ht="12.75">
      <c r="A705" s="160"/>
      <c r="B705" s="161"/>
    </row>
    <row r="706" spans="1:2" ht="12.75">
      <c r="A706" s="160"/>
      <c r="B706" s="161"/>
    </row>
    <row r="707" spans="1:2" ht="12.75">
      <c r="A707" s="160"/>
      <c r="B707" s="161"/>
    </row>
    <row r="708" spans="1:2" ht="12.75">
      <c r="A708" s="160"/>
      <c r="B708" s="161"/>
    </row>
    <row r="709" spans="1:2" ht="12.75">
      <c r="A709" s="160"/>
      <c r="B709" s="161"/>
    </row>
    <row r="710" spans="1:2" ht="12.75">
      <c r="A710" s="160"/>
      <c r="B710" s="161"/>
    </row>
    <row r="711" spans="1:2" ht="12.75">
      <c r="A711" s="160"/>
      <c r="B711" s="161"/>
    </row>
    <row r="712" spans="1:2" ht="12.75">
      <c r="A712" s="160"/>
      <c r="B712" s="161"/>
    </row>
    <row r="713" spans="1:2" ht="12.75">
      <c r="A713" s="160"/>
      <c r="B713" s="161"/>
    </row>
    <row r="714" spans="1:2" ht="12.75">
      <c r="A714" s="160"/>
      <c r="B714" s="161"/>
    </row>
    <row r="715" spans="1:2" ht="12.75">
      <c r="A715" s="160"/>
      <c r="B715" s="161"/>
    </row>
    <row r="716" spans="1:2" ht="12.75">
      <c r="A716" s="160"/>
      <c r="B716" s="161"/>
    </row>
    <row r="717" spans="1:2" ht="12.75">
      <c r="A717" s="160"/>
      <c r="B717" s="161"/>
    </row>
    <row r="718" spans="1:2" ht="12.75">
      <c r="A718" s="160"/>
      <c r="B718" s="161"/>
    </row>
    <row r="719" spans="1:2" ht="12.75">
      <c r="A719" s="160"/>
      <c r="B719" s="161"/>
    </row>
    <row r="720" spans="1:2" ht="12.75">
      <c r="A720" s="160"/>
      <c r="B720" s="161"/>
    </row>
    <row r="721" spans="1:2" ht="12.75">
      <c r="A721" s="160"/>
      <c r="B721" s="161"/>
    </row>
    <row r="722" spans="1:2" ht="12.75">
      <c r="A722" s="160"/>
      <c r="B722" s="161"/>
    </row>
    <row r="723" spans="1:2" ht="12.75">
      <c r="A723" s="160"/>
      <c r="B723" s="161"/>
    </row>
    <row r="724" spans="1:2" ht="12.75">
      <c r="A724" s="160"/>
      <c r="B724" s="161"/>
    </row>
    <row r="725" spans="1:2" ht="12.75">
      <c r="A725" s="160"/>
      <c r="B725" s="161"/>
    </row>
    <row r="726" spans="1:2" ht="12.75">
      <c r="A726" s="160"/>
      <c r="B726" s="161"/>
    </row>
    <row r="727" spans="1:2" ht="12.75">
      <c r="A727" s="160"/>
      <c r="B727" s="161"/>
    </row>
    <row r="728" spans="1:2" ht="12.75">
      <c r="A728" s="160"/>
      <c r="B728" s="161"/>
    </row>
    <row r="729" spans="1:2" ht="12.75">
      <c r="A729" s="160"/>
      <c r="B729" s="161"/>
    </row>
    <row r="730" spans="1:2" ht="12.75">
      <c r="A730" s="160"/>
      <c r="B730" s="161"/>
    </row>
    <row r="731" spans="1:2" ht="12.75">
      <c r="A731" s="160"/>
      <c r="B731" s="161"/>
    </row>
    <row r="732" spans="1:2" ht="12.75">
      <c r="A732" s="160"/>
      <c r="B732" s="161"/>
    </row>
    <row r="733" spans="1:2" ht="12.75">
      <c r="A733" s="160"/>
      <c r="B733" s="161"/>
    </row>
    <row r="734" spans="1:2" ht="12.75">
      <c r="A734" s="160"/>
      <c r="B734" s="161"/>
    </row>
    <row r="735" spans="1:2" ht="12.75">
      <c r="A735" s="160"/>
      <c r="B735" s="161"/>
    </row>
    <row r="736" spans="1:2" ht="12.75">
      <c r="A736" s="160"/>
      <c r="B736" s="161"/>
    </row>
    <row r="737" spans="1:2" ht="12.75">
      <c r="A737" s="160"/>
      <c r="B737" s="161"/>
    </row>
    <row r="738" spans="1:2" ht="12.75">
      <c r="A738" s="160"/>
      <c r="B738" s="161"/>
    </row>
    <row r="739" spans="1:2" ht="12.75">
      <c r="A739" s="160"/>
      <c r="B739" s="161"/>
    </row>
    <row r="740" spans="1:2" ht="12.75">
      <c r="A740" s="160"/>
      <c r="B740" s="161"/>
    </row>
    <row r="741" spans="1:2" ht="12.75">
      <c r="A741" s="160"/>
      <c r="B741" s="161"/>
    </row>
    <row r="742" spans="1:2" ht="12.75">
      <c r="A742" s="160"/>
      <c r="B742" s="161"/>
    </row>
    <row r="743" spans="1:2" ht="12.75">
      <c r="A743" s="160"/>
      <c r="B743" s="161"/>
    </row>
    <row r="744" spans="1:2" ht="12.75">
      <c r="A744" s="160"/>
      <c r="B744" s="161"/>
    </row>
    <row r="745" spans="1:2" ht="12.75">
      <c r="A745" s="160"/>
      <c r="B745" s="161"/>
    </row>
    <row r="746" spans="1:2" ht="12.75">
      <c r="A746" s="160"/>
      <c r="B746" s="161"/>
    </row>
    <row r="747" spans="1:2" ht="12.75">
      <c r="A747" s="160"/>
      <c r="B747" s="161"/>
    </row>
    <row r="748" spans="1:2" ht="12.75">
      <c r="A748" s="160"/>
      <c r="B748" s="161"/>
    </row>
    <row r="749" spans="1:2" ht="12.75">
      <c r="A749" s="160"/>
      <c r="B749" s="161"/>
    </row>
    <row r="750" spans="1:2" ht="12.75">
      <c r="A750" s="160"/>
      <c r="B750" s="161"/>
    </row>
    <row r="751" spans="1:2" ht="12.75">
      <c r="A751" s="160"/>
      <c r="B751" s="161"/>
    </row>
    <row r="752" spans="1:2" ht="12.75">
      <c r="A752" s="160"/>
      <c r="B752" s="161"/>
    </row>
    <row r="753" spans="1:2" ht="12.75">
      <c r="A753" s="160"/>
      <c r="B753" s="161"/>
    </row>
    <row r="754" spans="1:2" ht="12.75">
      <c r="A754" s="160"/>
      <c r="B754" s="161"/>
    </row>
    <row r="755" spans="1:2" ht="12.75">
      <c r="A755" s="160"/>
      <c r="B755" s="161"/>
    </row>
    <row r="756" spans="1:2" ht="12.75">
      <c r="A756" s="160"/>
      <c r="B756" s="161"/>
    </row>
    <row r="757" spans="1:2" ht="12.75">
      <c r="A757" s="160"/>
      <c r="B757" s="161"/>
    </row>
    <row r="758" spans="1:2" ht="12.75">
      <c r="A758" s="160"/>
      <c r="B758" s="161"/>
    </row>
    <row r="759" spans="1:2" ht="12.75">
      <c r="A759" s="160"/>
      <c r="B759" s="161"/>
    </row>
    <row r="760" spans="1:2" ht="12.75">
      <c r="A760" s="160"/>
      <c r="B760" s="161"/>
    </row>
    <row r="761" spans="1:2" ht="12.75">
      <c r="A761" s="160"/>
      <c r="B761" s="161"/>
    </row>
    <row r="762" spans="1:2" ht="12.75">
      <c r="A762" s="160"/>
      <c r="B762" s="161"/>
    </row>
    <row r="763" spans="1:2" ht="12.75">
      <c r="A763" s="160"/>
      <c r="B763" s="161"/>
    </row>
    <row r="764" spans="1:2" ht="12.75">
      <c r="A764" s="160"/>
      <c r="B764" s="161"/>
    </row>
    <row r="765" spans="1:2" ht="12.75">
      <c r="A765" s="160"/>
      <c r="B765" s="161"/>
    </row>
    <row r="766" spans="1:2" ht="12.75">
      <c r="A766" s="160"/>
      <c r="B766" s="161"/>
    </row>
    <row r="767" spans="1:2" ht="12.75">
      <c r="A767" s="160"/>
      <c r="B767" s="161"/>
    </row>
    <row r="768" spans="1:2" ht="12.75">
      <c r="A768" s="160"/>
      <c r="B768" s="161"/>
    </row>
    <row r="769" spans="1:2" ht="12.75">
      <c r="A769" s="160"/>
      <c r="B769" s="161"/>
    </row>
    <row r="770" spans="1:2" ht="12.75">
      <c r="A770" s="160"/>
      <c r="B770" s="161"/>
    </row>
    <row r="771" spans="1:2" ht="12.75">
      <c r="A771" s="160"/>
      <c r="B771" s="161"/>
    </row>
    <row r="772" spans="1:2" ht="12.75">
      <c r="A772" s="160"/>
      <c r="B772" s="161"/>
    </row>
    <row r="773" spans="1:2" ht="12.75">
      <c r="A773" s="160"/>
      <c r="B773" s="161"/>
    </row>
    <row r="774" spans="1:2" ht="12.75">
      <c r="A774" s="160"/>
      <c r="B774" s="161"/>
    </row>
    <row r="775" spans="1:2" ht="12.75">
      <c r="A775" s="160"/>
      <c r="B775" s="161"/>
    </row>
    <row r="776" spans="1:2" ht="12.75">
      <c r="A776" s="160"/>
      <c r="B776" s="161"/>
    </row>
    <row r="777" spans="1:2" ht="12.75">
      <c r="A777" s="160"/>
      <c r="B777" s="161"/>
    </row>
    <row r="778" spans="1:2" ht="12.75">
      <c r="A778" s="160"/>
      <c r="B778" s="161"/>
    </row>
    <row r="779" spans="1:2" ht="12.75">
      <c r="A779" s="160"/>
      <c r="B779" s="161"/>
    </row>
    <row r="780" spans="1:2" ht="12.75">
      <c r="A780" s="160"/>
      <c r="B780" s="161"/>
    </row>
    <row r="781" spans="1:2" ht="12.75">
      <c r="A781" s="160"/>
      <c r="B781" s="161"/>
    </row>
    <row r="782" spans="1:2" ht="12.75">
      <c r="A782" s="160"/>
      <c r="B782" s="161"/>
    </row>
    <row r="783" spans="1:2" ht="12.75">
      <c r="A783" s="160"/>
      <c r="B783" s="161"/>
    </row>
    <row r="784" spans="1:2" ht="12.75">
      <c r="A784" s="160"/>
      <c r="B784" s="161"/>
    </row>
    <row r="785" spans="1:2" ht="12.75">
      <c r="A785" s="160"/>
      <c r="B785" s="161"/>
    </row>
    <row r="786" spans="1:2" ht="12.75">
      <c r="A786" s="160"/>
      <c r="B786" s="161"/>
    </row>
    <row r="787" spans="1:2" ht="12.75">
      <c r="A787" s="160"/>
      <c r="B787" s="161"/>
    </row>
    <row r="788" spans="1:2" ht="12.75">
      <c r="A788" s="160"/>
      <c r="B788" s="161"/>
    </row>
    <row r="789" spans="1:2" ht="12.75">
      <c r="A789" s="160"/>
      <c r="B789" s="161"/>
    </row>
    <row r="790" spans="1:2" ht="12.75">
      <c r="A790" s="160"/>
      <c r="B790" s="161"/>
    </row>
    <row r="791" spans="1:2" ht="12.75">
      <c r="A791" s="160"/>
      <c r="B791" s="161"/>
    </row>
    <row r="792" spans="1:2" ht="12.75">
      <c r="A792" s="160"/>
      <c r="B792" s="161"/>
    </row>
    <row r="793" spans="1:2" ht="12.75">
      <c r="A793" s="160"/>
      <c r="B793" s="161"/>
    </row>
    <row r="794" spans="1:2" ht="12.75">
      <c r="A794" s="160"/>
      <c r="B794" s="161"/>
    </row>
    <row r="795" spans="1:2" ht="12.75">
      <c r="A795" s="160"/>
      <c r="B795" s="161"/>
    </row>
    <row r="796" spans="1:2" ht="12.75">
      <c r="A796" s="160"/>
      <c r="B796" s="161"/>
    </row>
    <row r="797" spans="1:2" ht="12.75">
      <c r="A797" s="160"/>
      <c r="B797" s="161"/>
    </row>
    <row r="798" spans="1:2" ht="12.75">
      <c r="A798" s="160"/>
      <c r="B798" s="161"/>
    </row>
    <row r="799" spans="1:2" ht="12.75">
      <c r="A799" s="160"/>
      <c r="B799" s="161"/>
    </row>
    <row r="800" spans="1:2" ht="12.75">
      <c r="A800" s="160"/>
      <c r="B800" s="161"/>
    </row>
    <row r="801" spans="1:2" ht="12.75">
      <c r="A801" s="160"/>
      <c r="B801" s="161"/>
    </row>
    <row r="802" spans="1:2" ht="12.75">
      <c r="A802" s="160"/>
      <c r="B802" s="161"/>
    </row>
    <row r="803" spans="1:2" ht="12.75">
      <c r="A803" s="160"/>
      <c r="B803" s="161"/>
    </row>
    <row r="804" spans="1:2" ht="12.75">
      <c r="A804" s="160"/>
      <c r="B804" s="161"/>
    </row>
    <row r="805" spans="1:2" ht="12.75">
      <c r="A805" s="160"/>
      <c r="B805" s="161"/>
    </row>
    <row r="806" spans="1:2" ht="12.75">
      <c r="A806" s="160"/>
      <c r="B806" s="161"/>
    </row>
    <row r="807" spans="1:2" ht="12.75">
      <c r="A807" s="160"/>
      <c r="B807" s="161"/>
    </row>
    <row r="808" spans="1:2" ht="12.75">
      <c r="A808" s="160"/>
      <c r="B808" s="161"/>
    </row>
    <row r="809" spans="1:2" ht="12.75">
      <c r="A809" s="160"/>
      <c r="B809" s="161"/>
    </row>
    <row r="810" spans="1:2" ht="12.75">
      <c r="A810" s="160"/>
      <c r="B810" s="161"/>
    </row>
    <row r="811" spans="1:2" ht="12.75">
      <c r="A811" s="160"/>
      <c r="B811" s="161"/>
    </row>
    <row r="812" spans="1:2" ht="12.75">
      <c r="A812" s="160"/>
      <c r="B812" s="161"/>
    </row>
    <row r="813" spans="1:2" ht="12.75">
      <c r="A813" s="160"/>
      <c r="B813" s="161"/>
    </row>
    <row r="814" spans="1:2" ht="12.75">
      <c r="A814" s="160"/>
      <c r="B814" s="161"/>
    </row>
    <row r="815" spans="1:2" ht="12.75">
      <c r="A815" s="160"/>
      <c r="B815" s="161"/>
    </row>
    <row r="816" spans="1:2" ht="12.75">
      <c r="A816" s="160"/>
      <c r="B816" s="161"/>
    </row>
    <row r="817" spans="1:2" ht="12.75">
      <c r="A817" s="160"/>
      <c r="B817" s="161"/>
    </row>
    <row r="818" spans="1:2" ht="12.75">
      <c r="A818" s="160"/>
      <c r="B818" s="161"/>
    </row>
    <row r="819" spans="1:2" ht="12.75">
      <c r="A819" s="160"/>
      <c r="B819" s="161"/>
    </row>
    <row r="820" spans="1:2" ht="12.75">
      <c r="A820" s="160"/>
      <c r="B820" s="161"/>
    </row>
    <row r="821" spans="1:2" ht="12.75">
      <c r="A821" s="160"/>
      <c r="B821" s="161"/>
    </row>
    <row r="822" spans="1:2" ht="12.75">
      <c r="A822" s="160"/>
      <c r="B822" s="161"/>
    </row>
    <row r="823" spans="1:2" ht="12.75">
      <c r="A823" s="160"/>
      <c r="B823" s="161"/>
    </row>
    <row r="824" spans="1:2" ht="12.75">
      <c r="A824" s="160"/>
      <c r="B824" s="161"/>
    </row>
    <row r="825" spans="1:2" ht="12.75">
      <c r="A825" s="160"/>
      <c r="B825" s="161"/>
    </row>
    <row r="826" spans="1:2" ht="12.75">
      <c r="A826" s="160"/>
      <c r="B826" s="161"/>
    </row>
    <row r="827" spans="1:2" ht="12.75">
      <c r="A827" s="160"/>
      <c r="B827" s="161"/>
    </row>
    <row r="828" spans="1:2" ht="12.75">
      <c r="A828" s="160"/>
      <c r="B828" s="161"/>
    </row>
    <row r="829" spans="1:2" ht="12.75">
      <c r="A829" s="160"/>
      <c r="B829" s="161"/>
    </row>
    <row r="830" spans="1:2" ht="12.75">
      <c r="A830" s="160"/>
      <c r="B830" s="161"/>
    </row>
    <row r="831" spans="1:2" ht="12.75">
      <c r="A831" s="160"/>
      <c r="B831" s="161"/>
    </row>
    <row r="832" spans="1:2" ht="12.75">
      <c r="A832" s="160"/>
      <c r="B832" s="161"/>
    </row>
    <row r="833" spans="1:2" ht="12.75">
      <c r="A833" s="160"/>
      <c r="B833" s="161"/>
    </row>
    <row r="834" spans="1:2" ht="12.75">
      <c r="A834" s="160"/>
      <c r="B834" s="161"/>
    </row>
    <row r="835" spans="1:2" ht="12.75">
      <c r="A835" s="160"/>
      <c r="B835" s="161"/>
    </row>
    <row r="836" spans="1:2" ht="12.75">
      <c r="A836" s="160"/>
      <c r="B836" s="161"/>
    </row>
    <row r="837" spans="1:2" ht="12.75">
      <c r="A837" s="160"/>
      <c r="B837" s="161"/>
    </row>
    <row r="838" spans="1:2" ht="12.75">
      <c r="A838" s="160"/>
      <c r="B838" s="161"/>
    </row>
    <row r="839" spans="1:2" ht="12.75">
      <c r="A839" s="160"/>
      <c r="B839" s="161"/>
    </row>
    <row r="840" spans="1:2" ht="12.75">
      <c r="A840" s="160"/>
      <c r="B840" s="161"/>
    </row>
    <row r="841" spans="1:2" ht="12.75">
      <c r="A841" s="160"/>
      <c r="B841" s="161"/>
    </row>
    <row r="842" spans="1:2" ht="12.75">
      <c r="A842" s="160"/>
      <c r="B842" s="161"/>
    </row>
    <row r="843" spans="1:2" ht="12.75">
      <c r="A843" s="160"/>
      <c r="B843" s="161"/>
    </row>
    <row r="844" spans="1:2" ht="12.75">
      <c r="A844" s="160"/>
      <c r="B844" s="161"/>
    </row>
    <row r="845" spans="1:2" ht="12.75">
      <c r="A845" s="160"/>
      <c r="B845" s="161"/>
    </row>
    <row r="846" spans="1:2" ht="12.75">
      <c r="A846" s="160"/>
      <c r="B846" s="161"/>
    </row>
    <row r="847" spans="1:2" ht="12.75">
      <c r="A847" s="160"/>
      <c r="B847" s="161"/>
    </row>
    <row r="848" spans="1:2" ht="12.75">
      <c r="A848" s="160"/>
      <c r="B848" s="161"/>
    </row>
    <row r="849" spans="1:2" ht="12.75">
      <c r="A849" s="160"/>
      <c r="B849" s="161"/>
    </row>
    <row r="850" spans="1:2" ht="12.75">
      <c r="A850" s="160"/>
      <c r="B850" s="161"/>
    </row>
    <row r="851" spans="1:2" ht="12.75">
      <c r="A851" s="160"/>
      <c r="B851" s="161"/>
    </row>
    <row r="852" spans="1:2" ht="12.75">
      <c r="A852" s="160"/>
      <c r="B852" s="161"/>
    </row>
    <row r="853" spans="1:2" ht="12.75">
      <c r="A853" s="160"/>
      <c r="B853" s="161"/>
    </row>
    <row r="854" spans="1:2" ht="12.75">
      <c r="A854" s="160"/>
      <c r="B854" s="161"/>
    </row>
    <row r="855" spans="1:2" ht="12.75">
      <c r="A855" s="160"/>
      <c r="B855" s="161"/>
    </row>
    <row r="856" spans="1:2" ht="12.75">
      <c r="A856" s="160"/>
      <c r="B856" s="161"/>
    </row>
    <row r="857" spans="1:2" ht="12.75">
      <c r="A857" s="160"/>
      <c r="B857" s="161"/>
    </row>
    <row r="858" spans="1:2" ht="12.75">
      <c r="A858" s="160"/>
      <c r="B858" s="161"/>
    </row>
    <row r="859" spans="1:2" ht="12.75">
      <c r="A859" s="160"/>
      <c r="B859" s="161"/>
    </row>
    <row r="860" spans="1:2" ht="12.75">
      <c r="A860" s="160"/>
      <c r="B860" s="161"/>
    </row>
    <row r="861" spans="1:2" ht="12.75">
      <c r="A861" s="160"/>
      <c r="B861" s="161"/>
    </row>
    <row r="862" spans="1:2" ht="12.75">
      <c r="A862" s="160"/>
      <c r="B862" s="161"/>
    </row>
    <row r="863" spans="1:2" ht="12.75">
      <c r="A863" s="160"/>
      <c r="B863" s="161"/>
    </row>
    <row r="864" spans="1:2" ht="12.75">
      <c r="A864" s="160"/>
      <c r="B864" s="161"/>
    </row>
    <row r="865" spans="1:2" ht="12.75">
      <c r="A865" s="160"/>
      <c r="B865" s="161"/>
    </row>
    <row r="866" spans="1:2" ht="12.75">
      <c r="A866" s="160"/>
      <c r="B866" s="161"/>
    </row>
    <row r="867" spans="1:2" ht="12.75">
      <c r="A867" s="160"/>
      <c r="B867" s="161"/>
    </row>
    <row r="868" spans="1:2" ht="12.75">
      <c r="A868" s="160"/>
      <c r="B868" s="161"/>
    </row>
    <row r="869" spans="1:2" ht="12.75">
      <c r="A869" s="160"/>
      <c r="B869" s="161"/>
    </row>
    <row r="870" spans="1:2" ht="12.75">
      <c r="A870" s="160"/>
      <c r="B870" s="161"/>
    </row>
    <row r="871" spans="1:2" ht="12.75">
      <c r="A871" s="160"/>
      <c r="B871" s="161"/>
    </row>
    <row r="872" spans="1:2" ht="12.75">
      <c r="A872" s="160"/>
      <c r="B872" s="161"/>
    </row>
    <row r="873" spans="1:2" ht="12.75">
      <c r="A873" s="160"/>
      <c r="B873" s="161"/>
    </row>
    <row r="874" spans="1:2" ht="12.75">
      <c r="A874" s="160"/>
      <c r="B874" s="161"/>
    </row>
    <row r="875" spans="1:2" ht="12.75">
      <c r="A875" s="160"/>
      <c r="B875" s="161"/>
    </row>
    <row r="876" spans="1:2" ht="12.75">
      <c r="A876" s="160"/>
      <c r="B876" s="161"/>
    </row>
    <row r="877" spans="1:2" ht="12.75">
      <c r="A877" s="160"/>
      <c r="B877" s="161"/>
    </row>
    <row r="878" spans="1:2" ht="12.75">
      <c r="A878" s="160"/>
      <c r="B878" s="161"/>
    </row>
    <row r="879" spans="1:2" ht="12.75">
      <c r="A879" s="160"/>
      <c r="B879" s="161"/>
    </row>
    <row r="880" spans="1:2" ht="12.75">
      <c r="A880" s="160"/>
      <c r="B880" s="161"/>
    </row>
    <row r="881" spans="1:2" ht="12.75">
      <c r="A881" s="160"/>
      <c r="B881" s="161"/>
    </row>
    <row r="882" spans="1:2" ht="12.75">
      <c r="A882" s="160"/>
      <c r="B882" s="161"/>
    </row>
    <row r="883" spans="1:2" ht="12.75">
      <c r="A883" s="160"/>
      <c r="B883" s="161"/>
    </row>
    <row r="884" spans="1:2" ht="12.75">
      <c r="A884" s="160"/>
      <c r="B884" s="161"/>
    </row>
    <row r="885" spans="1:2" ht="12.75">
      <c r="A885" s="160"/>
      <c r="B885" s="161"/>
    </row>
    <row r="886" spans="1:2" ht="12.75">
      <c r="A886" s="160"/>
      <c r="B886" s="161"/>
    </row>
    <row r="887" spans="1:2" ht="12.75">
      <c r="A887" s="160"/>
      <c r="B887" s="161"/>
    </row>
    <row r="888" spans="1:2" ht="12.75">
      <c r="A888" s="160"/>
      <c r="B888" s="161"/>
    </row>
    <row r="889" spans="1:2" ht="12.75">
      <c r="A889" s="160"/>
      <c r="B889" s="161"/>
    </row>
    <row r="890" spans="1:2" ht="12.75">
      <c r="A890" s="160"/>
      <c r="B890" s="161"/>
    </row>
    <row r="891" spans="1:2" ht="12.75">
      <c r="A891" s="160"/>
      <c r="B891" s="161"/>
    </row>
    <row r="892" spans="1:2" ht="12.75">
      <c r="A892" s="160"/>
      <c r="B892" s="161"/>
    </row>
    <row r="893" spans="1:2" ht="12.75">
      <c r="A893" s="160"/>
      <c r="B893" s="161"/>
    </row>
    <row r="894" spans="1:2" ht="12.75">
      <c r="A894" s="160"/>
      <c r="B894" s="161"/>
    </row>
    <row r="895" spans="1:2" ht="12.75">
      <c r="A895" s="160"/>
      <c r="B895" s="161"/>
    </row>
    <row r="896" spans="1:2" ht="12.75">
      <c r="A896" s="160"/>
      <c r="B896" s="161"/>
    </row>
    <row r="897" spans="1:2" ht="12.75">
      <c r="A897" s="160"/>
      <c r="B897" s="161"/>
    </row>
    <row r="898" spans="1:2" ht="12.75">
      <c r="A898" s="160"/>
      <c r="B898" s="161"/>
    </row>
    <row r="899" spans="1:2" ht="12.75">
      <c r="A899" s="160"/>
      <c r="B899" s="161"/>
    </row>
    <row r="900" spans="1:2" ht="12.75">
      <c r="A900" s="160"/>
      <c r="B900" s="161"/>
    </row>
    <row r="901" spans="1:2" ht="12.75">
      <c r="A901" s="160"/>
      <c r="B901" s="161"/>
    </row>
    <row r="902" spans="1:2" ht="12.75">
      <c r="A902" s="160"/>
      <c r="B902" s="161"/>
    </row>
    <row r="903" spans="1:2" ht="12.75">
      <c r="A903" s="160"/>
      <c r="B903" s="161"/>
    </row>
    <row r="904" spans="1:2" ht="12.75">
      <c r="A904" s="160"/>
      <c r="B904" s="161"/>
    </row>
    <row r="905" spans="1:2" ht="12.75">
      <c r="A905" s="160"/>
      <c r="B905" s="161"/>
    </row>
    <row r="906" spans="1:2" ht="12.75">
      <c r="A906" s="160"/>
      <c r="B906" s="161"/>
    </row>
    <row r="907" spans="1:2" ht="12.75">
      <c r="A907" s="160"/>
      <c r="B907" s="161"/>
    </row>
    <row r="908" spans="1:2" ht="12.75">
      <c r="A908" s="160"/>
      <c r="B908" s="161"/>
    </row>
    <row r="909" spans="1:2" ht="12.75">
      <c r="A909" s="160"/>
      <c r="B909" s="161"/>
    </row>
    <row r="910" spans="1:2" ht="12.75">
      <c r="A910" s="160"/>
      <c r="B910" s="161"/>
    </row>
    <row r="911" spans="1:2" ht="12.75">
      <c r="A911" s="160"/>
      <c r="B911" s="161"/>
    </row>
    <row r="912" spans="1:2" ht="12.75">
      <c r="A912" s="160"/>
      <c r="B912" s="161"/>
    </row>
    <row r="913" spans="1:2" ht="12.75">
      <c r="A913" s="160"/>
      <c r="B913" s="161"/>
    </row>
    <row r="914" spans="1:2" ht="12.75">
      <c r="A914" s="160"/>
      <c r="B914" s="161"/>
    </row>
    <row r="915" spans="1:2" ht="12.75">
      <c r="A915" s="160"/>
      <c r="B915" s="161"/>
    </row>
    <row r="916" spans="1:2" ht="12.75">
      <c r="A916" s="160"/>
      <c r="B916" s="161"/>
    </row>
    <row r="917" spans="1:2" ht="12.75">
      <c r="A917" s="160"/>
      <c r="B917" s="161"/>
    </row>
    <row r="918" spans="1:2" ht="12.75">
      <c r="A918" s="160"/>
      <c r="B918" s="161"/>
    </row>
    <row r="919" spans="1:2" ht="12.75">
      <c r="A919" s="160"/>
      <c r="B919" s="161"/>
    </row>
    <row r="920" spans="1:2" ht="12.75">
      <c r="A920" s="160"/>
      <c r="B920" s="161"/>
    </row>
    <row r="921" spans="1:2" ht="12.75">
      <c r="A921" s="160"/>
      <c r="B921" s="161"/>
    </row>
    <row r="922" spans="1:2" ht="12.75">
      <c r="A922" s="160"/>
      <c r="B922" s="161"/>
    </row>
    <row r="923" spans="1:2" ht="12.75">
      <c r="A923" s="160"/>
      <c r="B923" s="161"/>
    </row>
    <row r="924" spans="1:2" ht="12.75">
      <c r="A924" s="160"/>
      <c r="B924" s="161"/>
    </row>
    <row r="925" spans="1:2" ht="12.75">
      <c r="A925" s="160"/>
      <c r="B925" s="161"/>
    </row>
    <row r="926" spans="1:2" ht="12.75">
      <c r="A926" s="160"/>
      <c r="B926" s="161"/>
    </row>
    <row r="927" spans="1:2" ht="12.75">
      <c r="A927" s="160"/>
      <c r="B927" s="161"/>
    </row>
    <row r="928" spans="1:2" ht="12.75">
      <c r="A928" s="160"/>
      <c r="B928" s="161"/>
    </row>
    <row r="929" spans="1:2" ht="12.75">
      <c r="A929" s="160"/>
      <c r="B929" s="161"/>
    </row>
    <row r="930" spans="1:2" ht="12.75">
      <c r="A930" s="160"/>
      <c r="B930" s="161"/>
    </row>
    <row r="931" spans="1:2" ht="12.75">
      <c r="A931" s="160"/>
      <c r="B931" s="161"/>
    </row>
    <row r="932" spans="1:2" ht="12.75">
      <c r="A932" s="160"/>
      <c r="B932" s="161"/>
    </row>
    <row r="933" spans="1:2" ht="12.75">
      <c r="A933" s="160"/>
      <c r="B933" s="161"/>
    </row>
    <row r="934" spans="1:2" ht="12.75">
      <c r="A934" s="160"/>
      <c r="B934" s="161"/>
    </row>
    <row r="935" spans="1:2" ht="12.75">
      <c r="A935" s="160"/>
      <c r="B935" s="161"/>
    </row>
    <row r="936" spans="1:2" ht="12.75">
      <c r="A936" s="160"/>
      <c r="B936" s="161"/>
    </row>
    <row r="937" spans="1:2" ht="12.75">
      <c r="A937" s="160"/>
      <c r="B937" s="161"/>
    </row>
    <row r="938" spans="1:2" ht="12.75">
      <c r="A938" s="160"/>
      <c r="B938" s="161"/>
    </row>
    <row r="939" spans="1:2" ht="12.75">
      <c r="A939" s="160"/>
      <c r="B939" s="161"/>
    </row>
    <row r="940" spans="1:2" ht="12.75">
      <c r="A940" s="160"/>
      <c r="B940" s="161"/>
    </row>
    <row r="941" spans="1:2" ht="12.75">
      <c r="A941" s="160"/>
      <c r="B941" s="161"/>
    </row>
    <row r="942" spans="1:2" ht="12.75">
      <c r="A942" s="160"/>
      <c r="B942" s="161"/>
    </row>
    <row r="943" spans="1:2" ht="12.75">
      <c r="A943" s="160"/>
      <c r="B943" s="161"/>
    </row>
    <row r="944" spans="1:2" ht="12.75">
      <c r="A944" s="160"/>
      <c r="B944" s="161"/>
    </row>
    <row r="945" spans="1:2" ht="12.75">
      <c r="A945" s="160"/>
      <c r="B945" s="161"/>
    </row>
    <row r="946" spans="1:2" ht="12.75">
      <c r="A946" s="160"/>
      <c r="B946" s="161"/>
    </row>
    <row r="947" spans="1:2" ht="12.75">
      <c r="A947" s="160"/>
      <c r="B947" s="161"/>
    </row>
    <row r="948" spans="1:2" ht="12.75">
      <c r="A948" s="160"/>
      <c r="B948" s="161"/>
    </row>
    <row r="949" spans="1:2" ht="12.75">
      <c r="A949" s="160"/>
      <c r="B949" s="161"/>
    </row>
    <row r="950" spans="1:2" ht="12.75">
      <c r="A950" s="160"/>
      <c r="B950" s="161"/>
    </row>
    <row r="951" spans="1:2" ht="12.75">
      <c r="A951" s="160"/>
      <c r="B951" s="161"/>
    </row>
    <row r="952" spans="1:2" ht="12.75">
      <c r="A952" s="160"/>
      <c r="B952" s="161"/>
    </row>
    <row r="953" spans="1:2" ht="12.75">
      <c r="A953" s="160"/>
      <c r="B953" s="161"/>
    </row>
    <row r="954" spans="1:2" ht="12.75">
      <c r="A954" s="160"/>
      <c r="B954" s="161"/>
    </row>
    <row r="955" spans="1:2" ht="12.75">
      <c r="A955" s="160"/>
      <c r="B955" s="161"/>
    </row>
    <row r="956" spans="1:2" ht="12.75">
      <c r="A956" s="160"/>
      <c r="B956" s="161"/>
    </row>
    <row r="957" spans="1:2" ht="12.75">
      <c r="A957" s="160"/>
      <c r="B957" s="160"/>
    </row>
    <row r="958" spans="1:2" ht="12.75">
      <c r="A958" s="160"/>
      <c r="B958" s="161"/>
    </row>
    <row r="959" spans="1:2" ht="12.75">
      <c r="A959" s="160"/>
      <c r="B959" s="161"/>
    </row>
    <row r="960" spans="1:2" ht="12.75">
      <c r="A960" s="160"/>
      <c r="B960" s="161"/>
    </row>
    <row r="961" spans="1:2" ht="12.75">
      <c r="A961" s="160"/>
      <c r="B961" s="161"/>
    </row>
    <row r="962" spans="1:2" ht="12.75">
      <c r="A962" s="160"/>
      <c r="B962" s="161"/>
    </row>
    <row r="963" spans="1:2" ht="12.75">
      <c r="A963" s="160"/>
      <c r="B963" s="161"/>
    </row>
    <row r="964" spans="1:2" ht="12.75">
      <c r="A964" s="160"/>
      <c r="B964" s="161"/>
    </row>
    <row r="965" spans="1:2" ht="12.75">
      <c r="A965" s="160"/>
      <c r="B965" s="161"/>
    </row>
    <row r="966" spans="1:2" ht="12.75">
      <c r="A966" s="160"/>
      <c r="B966" s="161"/>
    </row>
    <row r="967" spans="1:2" ht="12.75">
      <c r="A967" s="160"/>
      <c r="B967" s="161"/>
    </row>
    <row r="968" spans="1:2" ht="12.75">
      <c r="A968" s="160"/>
      <c r="B968" s="161"/>
    </row>
    <row r="969" spans="1:2" ht="12.75">
      <c r="A969" s="160"/>
      <c r="B969" s="161"/>
    </row>
    <row r="970" spans="1:2" ht="12.75">
      <c r="A970" s="160"/>
      <c r="B970" s="161"/>
    </row>
    <row r="971" spans="1:2" ht="12.75">
      <c r="A971" s="160"/>
      <c r="B971" s="161"/>
    </row>
    <row r="972" spans="1:2" ht="12.75">
      <c r="A972" s="160"/>
      <c r="B972" s="161"/>
    </row>
    <row r="973" spans="1:2" ht="12.75">
      <c r="A973" s="160"/>
      <c r="B973" s="161"/>
    </row>
    <row r="974" spans="1:2" ht="12.75">
      <c r="A974" s="160"/>
      <c r="B974" s="161"/>
    </row>
    <row r="975" spans="1:2" ht="12.75">
      <c r="A975" s="160"/>
      <c r="B975" s="161"/>
    </row>
    <row r="976" spans="1:2" ht="12.75">
      <c r="A976" s="160"/>
      <c r="B976" s="161"/>
    </row>
    <row r="977" spans="1:2" ht="12.75">
      <c r="A977" s="160"/>
      <c r="B977" s="161"/>
    </row>
    <row r="978" spans="1:2" ht="12.75">
      <c r="A978" s="160"/>
      <c r="B978" s="161"/>
    </row>
    <row r="979" spans="1:2" ht="12.75">
      <c r="A979" s="160"/>
      <c r="B979" s="161"/>
    </row>
    <row r="980" spans="1:2" ht="12.75">
      <c r="A980" s="160"/>
      <c r="B980" s="161"/>
    </row>
    <row r="981" spans="1:2" ht="12.75">
      <c r="A981" s="160"/>
      <c r="B981" s="161"/>
    </row>
    <row r="982" spans="1:2" ht="12.75">
      <c r="A982" s="160"/>
      <c r="B982" s="161"/>
    </row>
    <row r="983" spans="1:2" ht="12.75">
      <c r="A983" s="160"/>
      <c r="B983" s="161"/>
    </row>
    <row r="984" spans="1:2" ht="12.75">
      <c r="A984" s="160"/>
      <c r="B984" s="161"/>
    </row>
    <row r="985" spans="1:2" ht="12.75">
      <c r="A985" s="160"/>
      <c r="B985" s="161"/>
    </row>
    <row r="986" spans="1:2" ht="12.75">
      <c r="A986" s="160"/>
      <c r="B986" s="161"/>
    </row>
    <row r="987" spans="1:2" ht="12.75">
      <c r="A987" s="160"/>
      <c r="B987" s="161"/>
    </row>
    <row r="988" spans="1:2" ht="12.75">
      <c r="A988" s="160"/>
      <c r="B988" s="161"/>
    </row>
    <row r="989" spans="1:2" ht="12.75">
      <c r="A989" s="160"/>
      <c r="B989" s="161"/>
    </row>
    <row r="990" spans="1:2" ht="12.75">
      <c r="A990" s="160"/>
      <c r="B990" s="161"/>
    </row>
    <row r="991" spans="1:2" ht="12.75">
      <c r="A991" s="160"/>
      <c r="B991" s="161"/>
    </row>
    <row r="992" spans="1:2" ht="12.75">
      <c r="A992" s="160"/>
      <c r="B992" s="161"/>
    </row>
    <row r="993" spans="1:2" ht="12.75">
      <c r="A993" s="160"/>
      <c r="B993" s="161"/>
    </row>
    <row r="994" spans="1:2" ht="12.75">
      <c r="A994" s="160"/>
      <c r="B994" s="161"/>
    </row>
    <row r="995" spans="1:2" ht="12.75">
      <c r="A995" s="160"/>
      <c r="B995" s="161"/>
    </row>
    <row r="996" spans="1:2" ht="12.75">
      <c r="A996" s="160"/>
      <c r="B996" s="161"/>
    </row>
    <row r="997" spans="1:2" ht="12.75">
      <c r="A997" s="160"/>
      <c r="B997" s="161"/>
    </row>
    <row r="998" spans="1:2" ht="12.75">
      <c r="A998" s="160"/>
      <c r="B998" s="161"/>
    </row>
    <row r="999" spans="1:2" ht="12.75">
      <c r="A999" s="160"/>
      <c r="B999" s="161"/>
    </row>
    <row r="1000" spans="1:2" ht="12.75">
      <c r="A1000" s="160"/>
      <c r="B1000" s="161"/>
    </row>
    <row r="1001" spans="1:2" ht="12.75">
      <c r="A1001" s="160"/>
      <c r="B1001" s="161"/>
    </row>
    <row r="1002" spans="1:2" ht="12.75">
      <c r="A1002" s="160"/>
      <c r="B1002" s="161"/>
    </row>
    <row r="1003" spans="1:2" ht="12.75">
      <c r="A1003" s="160"/>
      <c r="B1003" s="161"/>
    </row>
    <row r="1004" spans="1:2" ht="12.75">
      <c r="A1004" s="160"/>
      <c r="B1004" s="161"/>
    </row>
    <row r="1005" spans="1:2" ht="12.75">
      <c r="A1005" s="160"/>
      <c r="B1005" s="161"/>
    </row>
    <row r="1006" spans="1:2" ht="12.75">
      <c r="A1006" s="160"/>
      <c r="B1006" s="161"/>
    </row>
    <row r="1007" spans="1:2" ht="12.75">
      <c r="A1007" s="160"/>
      <c r="B1007" s="161"/>
    </row>
    <row r="1008" spans="1:2" ht="12.75">
      <c r="A1008" s="160"/>
      <c r="B1008" s="161"/>
    </row>
    <row r="1009" spans="1:2" ht="12.75">
      <c r="A1009" s="160"/>
      <c r="B1009" s="161"/>
    </row>
    <row r="1010" spans="1:2" ht="12.75">
      <c r="A1010" s="160"/>
      <c r="B1010" s="161"/>
    </row>
    <row r="1011" spans="1:2" ht="12.75">
      <c r="A1011" s="160"/>
      <c r="B1011" s="161"/>
    </row>
    <row r="1012" spans="1:2" ht="12.75">
      <c r="A1012" s="160"/>
      <c r="B1012" s="161"/>
    </row>
    <row r="1013" spans="1:2" ht="12.75">
      <c r="A1013" s="160"/>
      <c r="B1013" s="161"/>
    </row>
    <row r="1014" spans="1:2" ht="12.75">
      <c r="A1014" s="160"/>
      <c r="B1014" s="161"/>
    </row>
    <row r="1015" spans="1:2" ht="12.75">
      <c r="A1015" s="160"/>
      <c r="B1015" s="161"/>
    </row>
    <row r="1016" spans="1:2" ht="12.75">
      <c r="A1016" s="160"/>
      <c r="B1016" s="161"/>
    </row>
    <row r="1017" spans="1:2" ht="12.75">
      <c r="A1017" s="160"/>
      <c r="B1017" s="161"/>
    </row>
    <row r="1018" spans="1:2" ht="12.75">
      <c r="A1018" s="160"/>
      <c r="B1018" s="161"/>
    </row>
    <row r="1019" spans="1:2" ht="12.75">
      <c r="A1019" s="160"/>
      <c r="B1019" s="161"/>
    </row>
    <row r="1020" spans="1:2" ht="12.75">
      <c r="A1020" s="160"/>
      <c r="B1020" s="161"/>
    </row>
    <row r="1021" spans="1:2" ht="12.75">
      <c r="A1021" s="160"/>
      <c r="B1021" s="161"/>
    </row>
    <row r="1022" spans="1:2" ht="12.75">
      <c r="A1022" s="160"/>
      <c r="B1022" s="161"/>
    </row>
    <row r="1023" spans="1:2" ht="12.75">
      <c r="A1023" s="160"/>
      <c r="B1023" s="161"/>
    </row>
    <row r="1024" spans="1:2" ht="12.75">
      <c r="A1024" s="160"/>
      <c r="B1024" s="161"/>
    </row>
    <row r="1025" spans="1:2" ht="12.75">
      <c r="A1025" s="160"/>
      <c r="B1025" s="161"/>
    </row>
    <row r="1026" spans="1:2" ht="12.75">
      <c r="A1026" s="160"/>
      <c r="B1026" s="161"/>
    </row>
    <row r="1027" spans="1:2" ht="12.75">
      <c r="A1027" s="160"/>
      <c r="B1027" s="161"/>
    </row>
    <row r="1028" spans="1:2" ht="12.75">
      <c r="A1028" s="160"/>
      <c r="B1028" s="161"/>
    </row>
    <row r="1029" spans="1:2" ht="12.75">
      <c r="A1029" s="160"/>
      <c r="B1029" s="161"/>
    </row>
    <row r="1030" spans="1:2" ht="12.75">
      <c r="A1030" s="160"/>
      <c r="B1030" s="161"/>
    </row>
    <row r="1031" spans="1:2" ht="12.75">
      <c r="A1031" s="160"/>
      <c r="B1031" s="161"/>
    </row>
    <row r="1032" spans="1:2" ht="12.75">
      <c r="A1032" s="160"/>
      <c r="B1032" s="161"/>
    </row>
    <row r="1033" spans="1:2" ht="12.75">
      <c r="A1033" s="160"/>
      <c r="B1033" s="161"/>
    </row>
    <row r="1034" spans="1:2" ht="12.75">
      <c r="A1034" s="160"/>
      <c r="B1034" s="161"/>
    </row>
    <row r="1035" spans="1:2" ht="12.75">
      <c r="A1035" s="160"/>
      <c r="B1035" s="161"/>
    </row>
    <row r="1036" spans="1:2" ht="12.75">
      <c r="A1036" s="160"/>
      <c r="B1036" s="161"/>
    </row>
    <row r="1037" spans="1:2" ht="12.75">
      <c r="A1037" s="160"/>
      <c r="B1037" s="161"/>
    </row>
    <row r="1038" spans="1:2" ht="12.75">
      <c r="A1038" s="160"/>
      <c r="B1038" s="161"/>
    </row>
    <row r="1039" spans="1:2" ht="12.75">
      <c r="A1039" s="160"/>
      <c r="B1039" s="161"/>
    </row>
    <row r="1040" spans="1:2" ht="12.75">
      <c r="A1040" s="160"/>
      <c r="B1040" s="161"/>
    </row>
    <row r="1041" spans="1:2" ht="12.75">
      <c r="A1041" s="160"/>
      <c r="B1041" s="161"/>
    </row>
    <row r="1042" spans="1:2" ht="12.75">
      <c r="A1042" s="160"/>
      <c r="B1042" s="161"/>
    </row>
    <row r="1043" spans="1:2" ht="12.75">
      <c r="A1043" s="160"/>
      <c r="B1043" s="161"/>
    </row>
    <row r="1044" spans="1:2" ht="12.75">
      <c r="A1044" s="160"/>
      <c r="B1044" s="161"/>
    </row>
    <row r="1045" spans="1:2" ht="12.75">
      <c r="A1045" s="160"/>
      <c r="B1045" s="161"/>
    </row>
    <row r="1046" spans="1:2" ht="12.75">
      <c r="A1046" s="160"/>
      <c r="B1046" s="161"/>
    </row>
    <row r="1047" spans="1:2" ht="12.75">
      <c r="A1047" s="160"/>
      <c r="B1047" s="161"/>
    </row>
    <row r="1048" spans="1:2" ht="12.75">
      <c r="A1048" s="160"/>
      <c r="B1048" s="161"/>
    </row>
    <row r="1049" spans="1:2" ht="12.75">
      <c r="A1049" s="160"/>
      <c r="B1049" s="161"/>
    </row>
    <row r="1050" spans="1:2" ht="12.75">
      <c r="A1050" s="160"/>
      <c r="B1050" s="161"/>
    </row>
    <row r="1051" spans="1:2" ht="12.75">
      <c r="A1051" s="160"/>
      <c r="B1051" s="1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40"/>
  <sheetViews>
    <sheetView rightToLeft="1" zoomScalePageLayoutView="0" workbookViewId="0" topLeftCell="A1">
      <pane xSplit="4" ySplit="4" topLeftCell="H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5" sqref="K5"/>
    </sheetView>
  </sheetViews>
  <sheetFormatPr defaultColWidth="9.140625" defaultRowHeight="12.75"/>
  <cols>
    <col min="1" max="1" width="4.00390625" style="0" bestFit="1" customWidth="1"/>
    <col min="2" max="2" width="13.57421875" style="13" customWidth="1"/>
    <col min="3" max="3" width="35.57421875" style="13" customWidth="1"/>
    <col min="4" max="4" width="13.140625" style="13" customWidth="1"/>
    <col min="5" max="5" width="14.421875" style="0" customWidth="1"/>
    <col min="6" max="6" width="13.8515625" style="0" bestFit="1" customWidth="1"/>
    <col min="8" max="8" width="15.57421875" style="0" bestFit="1" customWidth="1"/>
    <col min="9" max="9" width="11.57421875" style="0" customWidth="1"/>
    <col min="10" max="10" width="10.57421875" style="0" customWidth="1"/>
    <col min="11" max="11" width="13.8515625" style="0" customWidth="1"/>
    <col min="12" max="12" width="21.57421875" style="0" customWidth="1"/>
    <col min="13" max="13" width="10.421875" style="0" customWidth="1"/>
    <col min="14" max="14" width="10.421875" style="0" bestFit="1" customWidth="1"/>
    <col min="15" max="15" width="12.8515625" style="0" bestFit="1" customWidth="1"/>
  </cols>
  <sheetData>
    <row r="1" spans="2:11" ht="12.75">
      <c r="B1" s="13">
        <v>1</v>
      </c>
      <c r="C1" s="13">
        <v>3</v>
      </c>
      <c r="D1" s="13">
        <v>6</v>
      </c>
      <c r="E1" s="13">
        <v>38</v>
      </c>
      <c r="F1" s="13">
        <v>39</v>
      </c>
      <c r="G1" s="13">
        <v>40</v>
      </c>
      <c r="K1" s="53"/>
    </row>
    <row r="2" spans="5:10" ht="12.75">
      <c r="E2" s="53"/>
      <c r="F2" s="53"/>
      <c r="I2" s="54">
        <v>0.7</v>
      </c>
      <c r="J2" s="54">
        <v>0.8</v>
      </c>
    </row>
    <row r="4" spans="1:11" ht="63.75">
      <c r="A4" s="115" t="s">
        <v>779</v>
      </c>
      <c r="B4" s="55" t="s">
        <v>25</v>
      </c>
      <c r="C4" s="56" t="s">
        <v>50</v>
      </c>
      <c r="D4" s="56" t="s">
        <v>51</v>
      </c>
      <c r="E4" s="57" t="s">
        <v>52</v>
      </c>
      <c r="F4" s="59" t="s">
        <v>53</v>
      </c>
      <c r="G4" s="58" t="s">
        <v>54</v>
      </c>
      <c r="H4" s="58" t="s">
        <v>55</v>
      </c>
      <c r="I4" s="58" t="s">
        <v>56</v>
      </c>
      <c r="J4" s="58" t="s">
        <v>57</v>
      </c>
      <c r="K4" s="59" t="s">
        <v>58</v>
      </c>
    </row>
    <row r="5" spans="1:15" s="13" customFormat="1" ht="15">
      <c r="A5" s="13">
        <v>82</v>
      </c>
      <c r="B5" s="66">
        <v>511602591</v>
      </c>
      <c r="C5" s="16" t="s">
        <v>253</v>
      </c>
      <c r="D5" s="16" t="s">
        <v>72</v>
      </c>
      <c r="E5" s="156">
        <v>104120.5</v>
      </c>
      <c r="F5" s="156">
        <v>52060</v>
      </c>
      <c r="G5" s="157">
        <f aca="true" t="shared" si="0" ref="G5:G36">F5/E5</f>
        <v>0.4999975989358484</v>
      </c>
      <c r="H5" s="158">
        <v>90311</v>
      </c>
      <c r="I5" s="159">
        <f aca="true" t="shared" si="1" ref="I5:I68">E5*$I$2</f>
        <v>72884.34999999999</v>
      </c>
      <c r="J5" s="159">
        <f aca="true" t="shared" si="2" ref="J5:J68">H5*$J$2</f>
        <v>72248.8</v>
      </c>
      <c r="K5" s="172">
        <f aca="true" t="shared" si="3" ref="K5:K68">ROUND(IF(IF(MIN(I5,J5)&lt;F5,MIN(I5,J5)-F5,MIN(I5,J5))&lt;0,0,IF(MIN(I5,J5)&lt;F5,MIN(I5,J5)-F5,MIN(I5,J5))),0)</f>
        <v>72249</v>
      </c>
      <c r="L5" s="156"/>
      <c r="N5" s="173"/>
      <c r="O5" s="190"/>
    </row>
    <row r="6" spans="1:16" ht="15.75">
      <c r="A6">
        <v>2</v>
      </c>
      <c r="B6" s="60">
        <v>511757486</v>
      </c>
      <c r="C6" s="61" t="s">
        <v>679</v>
      </c>
      <c r="D6" s="61" t="s">
        <v>60</v>
      </c>
      <c r="E6" s="53">
        <v>331895.75</v>
      </c>
      <c r="F6" s="53">
        <v>165948</v>
      </c>
      <c r="G6" s="54">
        <f t="shared" si="0"/>
        <v>0.5000003766242864</v>
      </c>
      <c r="H6" s="62">
        <v>428219</v>
      </c>
      <c r="I6" s="63">
        <f t="shared" si="1"/>
        <v>232327.025</v>
      </c>
      <c r="J6" s="63">
        <f t="shared" si="2"/>
        <v>342575.2</v>
      </c>
      <c r="K6" s="172">
        <f t="shared" si="3"/>
        <v>232327</v>
      </c>
      <c r="L6" s="156"/>
      <c r="M6" s="173"/>
      <c r="N6" s="173"/>
      <c r="O6" s="190"/>
      <c r="P6" s="13"/>
    </row>
    <row r="7" spans="1:16" ht="15.75">
      <c r="A7" s="13">
        <v>3</v>
      </c>
      <c r="B7" s="95">
        <v>512120841</v>
      </c>
      <c r="C7" s="96" t="s">
        <v>59</v>
      </c>
      <c r="D7" s="96" t="s">
        <v>60</v>
      </c>
      <c r="E7" s="98">
        <v>138093</v>
      </c>
      <c r="F7" s="98">
        <v>69047</v>
      </c>
      <c r="G7" s="148">
        <f t="shared" si="0"/>
        <v>0.5000036207483363</v>
      </c>
      <c r="H7" s="149">
        <v>144765</v>
      </c>
      <c r="I7" s="150">
        <f t="shared" si="1"/>
        <v>96665.09999999999</v>
      </c>
      <c r="J7" s="150">
        <f t="shared" si="2"/>
        <v>115812</v>
      </c>
      <c r="K7" s="179">
        <f t="shared" si="3"/>
        <v>96665</v>
      </c>
      <c r="L7" s="156"/>
      <c r="M7" s="173"/>
      <c r="N7" s="173"/>
      <c r="O7" s="190"/>
      <c r="P7" s="13"/>
    </row>
    <row r="8" spans="1:16" ht="15.75">
      <c r="A8">
        <v>4</v>
      </c>
      <c r="B8" s="60">
        <v>512158668</v>
      </c>
      <c r="C8" s="61" t="s">
        <v>254</v>
      </c>
      <c r="D8" s="61" t="s">
        <v>60</v>
      </c>
      <c r="E8" s="53">
        <v>189487</v>
      </c>
      <c r="F8" s="53">
        <v>94744</v>
      </c>
      <c r="G8" s="54">
        <f t="shared" si="0"/>
        <v>0.5000026387034466</v>
      </c>
      <c r="H8" s="62">
        <v>316184</v>
      </c>
      <c r="I8" s="63">
        <f t="shared" si="1"/>
        <v>132640.9</v>
      </c>
      <c r="J8" s="63">
        <f t="shared" si="2"/>
        <v>252947.2</v>
      </c>
      <c r="K8" s="172">
        <f t="shared" si="3"/>
        <v>132641</v>
      </c>
      <c r="L8" s="156"/>
      <c r="M8" s="173"/>
      <c r="N8" s="173"/>
      <c r="O8" s="190"/>
      <c r="P8" s="13"/>
    </row>
    <row r="9" spans="1:16" ht="15.75">
      <c r="A9" s="13">
        <v>5</v>
      </c>
      <c r="B9" s="60">
        <v>512339656</v>
      </c>
      <c r="C9" s="61" t="s">
        <v>61</v>
      </c>
      <c r="D9" s="61" t="s">
        <v>60</v>
      </c>
      <c r="E9" s="53">
        <f>684659.25+75922</f>
        <v>760581.25</v>
      </c>
      <c r="F9" s="53">
        <f>342330+21399</f>
        <v>363729</v>
      </c>
      <c r="G9" s="54">
        <f t="shared" si="0"/>
        <v>0.4782250417033026</v>
      </c>
      <c r="H9" s="62">
        <v>222205</v>
      </c>
      <c r="I9" s="63">
        <f t="shared" si="1"/>
        <v>532406.875</v>
      </c>
      <c r="J9" s="63">
        <f t="shared" si="2"/>
        <v>177764</v>
      </c>
      <c r="K9" s="172">
        <f t="shared" si="3"/>
        <v>0</v>
      </c>
      <c r="L9" s="156"/>
      <c r="M9" s="173"/>
      <c r="N9" s="173"/>
      <c r="O9" s="190"/>
      <c r="P9" s="13"/>
    </row>
    <row r="10" spans="1:16" ht="15.75">
      <c r="A10">
        <v>6</v>
      </c>
      <c r="B10" s="60">
        <v>512371717</v>
      </c>
      <c r="C10" s="61" t="s">
        <v>319</v>
      </c>
      <c r="D10" s="65" t="s">
        <v>63</v>
      </c>
      <c r="E10" s="53">
        <v>202250</v>
      </c>
      <c r="F10" s="53">
        <v>101125</v>
      </c>
      <c r="G10" s="54">
        <f t="shared" si="0"/>
        <v>0.5</v>
      </c>
      <c r="H10" s="62">
        <v>154508</v>
      </c>
      <c r="I10" s="63">
        <f t="shared" si="1"/>
        <v>141575</v>
      </c>
      <c r="J10" s="63">
        <f t="shared" si="2"/>
        <v>123606.40000000001</v>
      </c>
      <c r="K10" s="172">
        <f t="shared" si="3"/>
        <v>123606</v>
      </c>
      <c r="L10" s="156"/>
      <c r="M10" s="173"/>
      <c r="N10" s="173"/>
      <c r="O10" s="190"/>
      <c r="P10" s="13"/>
    </row>
    <row r="11" spans="1:16" ht="15.75">
      <c r="A11" s="13">
        <v>7</v>
      </c>
      <c r="B11" s="108">
        <v>512390618</v>
      </c>
      <c r="C11" s="61" t="s">
        <v>752</v>
      </c>
      <c r="D11" s="61" t="s">
        <v>72</v>
      </c>
      <c r="E11" s="53">
        <v>95435</v>
      </c>
      <c r="F11" s="53">
        <v>47718</v>
      </c>
      <c r="G11" s="54">
        <f t="shared" si="0"/>
        <v>0.5000052391680201</v>
      </c>
      <c r="H11" s="62">
        <v>77922</v>
      </c>
      <c r="I11" s="63">
        <f t="shared" si="1"/>
        <v>66804.5</v>
      </c>
      <c r="J11" s="63">
        <f t="shared" si="2"/>
        <v>62337.600000000006</v>
      </c>
      <c r="K11" s="172">
        <f t="shared" si="3"/>
        <v>62338</v>
      </c>
      <c r="L11" s="156"/>
      <c r="M11" s="173"/>
      <c r="N11" s="173"/>
      <c r="O11" s="190"/>
      <c r="P11" s="13"/>
    </row>
    <row r="12" spans="1:16" ht="15.75">
      <c r="A12">
        <v>8</v>
      </c>
      <c r="B12" s="108">
        <v>512390626</v>
      </c>
      <c r="C12" s="61" t="s">
        <v>753</v>
      </c>
      <c r="D12" s="61" t="s">
        <v>72</v>
      </c>
      <c r="E12" s="53">
        <v>39095</v>
      </c>
      <c r="F12" s="53">
        <v>19548</v>
      </c>
      <c r="G12" s="54">
        <f t="shared" si="0"/>
        <v>0.5000127893592531</v>
      </c>
      <c r="H12" s="62">
        <v>35050</v>
      </c>
      <c r="I12" s="63">
        <f t="shared" si="1"/>
        <v>27366.5</v>
      </c>
      <c r="J12" s="63">
        <f t="shared" si="2"/>
        <v>28040</v>
      </c>
      <c r="K12" s="172">
        <f t="shared" si="3"/>
        <v>27367</v>
      </c>
      <c r="L12" s="156"/>
      <c r="M12" s="173"/>
      <c r="N12" s="173"/>
      <c r="O12" s="190"/>
      <c r="P12" s="13"/>
    </row>
    <row r="13" spans="1:16" ht="15.75">
      <c r="A13" s="13">
        <v>9</v>
      </c>
      <c r="B13" s="60">
        <v>512390675</v>
      </c>
      <c r="C13" s="60" t="s">
        <v>618</v>
      </c>
      <c r="D13" s="61" t="s">
        <v>72</v>
      </c>
      <c r="E13" s="53">
        <v>17415</v>
      </c>
      <c r="F13" s="53">
        <v>8708</v>
      </c>
      <c r="G13" s="54">
        <f t="shared" si="0"/>
        <v>0.5000287108814241</v>
      </c>
      <c r="H13" s="62">
        <v>6468</v>
      </c>
      <c r="I13" s="63">
        <f t="shared" si="1"/>
        <v>12190.5</v>
      </c>
      <c r="J13" s="63">
        <f t="shared" si="2"/>
        <v>5174.400000000001</v>
      </c>
      <c r="K13" s="172">
        <f t="shared" si="3"/>
        <v>0</v>
      </c>
      <c r="L13" s="156"/>
      <c r="M13" s="173"/>
      <c r="N13" s="173"/>
      <c r="O13" s="190"/>
      <c r="P13" s="13"/>
    </row>
    <row r="14" spans="1:16" ht="15.75">
      <c r="A14">
        <v>10</v>
      </c>
      <c r="B14" s="60">
        <v>512390683</v>
      </c>
      <c r="C14" s="16" t="s">
        <v>493</v>
      </c>
      <c r="D14" s="16" t="s">
        <v>72</v>
      </c>
      <c r="E14" s="53">
        <v>278305.6</v>
      </c>
      <c r="F14" s="53">
        <v>139153</v>
      </c>
      <c r="G14" s="54">
        <f t="shared" si="0"/>
        <v>0.5000007186344796</v>
      </c>
      <c r="H14" s="62">
        <v>342098</v>
      </c>
      <c r="I14" s="63">
        <f t="shared" si="1"/>
        <v>194813.91999999998</v>
      </c>
      <c r="J14" s="63">
        <f t="shared" si="2"/>
        <v>273678.4</v>
      </c>
      <c r="K14" s="172">
        <f t="shared" si="3"/>
        <v>194814</v>
      </c>
      <c r="L14" s="156"/>
      <c r="M14" s="173"/>
      <c r="N14" s="173"/>
      <c r="O14" s="190"/>
      <c r="P14" s="13"/>
    </row>
    <row r="15" spans="1:16" ht="15.75">
      <c r="A15" s="13">
        <v>11</v>
      </c>
      <c r="B15" s="101">
        <v>512390691</v>
      </c>
      <c r="C15" s="102" t="s">
        <v>658</v>
      </c>
      <c r="D15" s="102" t="s">
        <v>72</v>
      </c>
      <c r="E15" s="53">
        <v>10357</v>
      </c>
      <c r="F15" s="53">
        <v>5179</v>
      </c>
      <c r="G15" s="54">
        <f t="shared" si="0"/>
        <v>0.5000482765279521</v>
      </c>
      <c r="H15" s="62">
        <v>13297</v>
      </c>
      <c r="I15" s="63">
        <f t="shared" si="1"/>
        <v>7249.9</v>
      </c>
      <c r="J15" s="63">
        <f t="shared" si="2"/>
        <v>10637.6</v>
      </c>
      <c r="K15" s="172">
        <f t="shared" si="3"/>
        <v>7250</v>
      </c>
      <c r="L15" s="156"/>
      <c r="M15" s="173"/>
      <c r="N15" s="173"/>
      <c r="O15" s="190"/>
      <c r="P15" s="13"/>
    </row>
    <row r="16" spans="1:16" ht="15.75">
      <c r="A16">
        <v>12</v>
      </c>
      <c r="B16" s="60">
        <v>512505678</v>
      </c>
      <c r="C16" s="61" t="s">
        <v>494</v>
      </c>
      <c r="D16" s="16" t="s">
        <v>94</v>
      </c>
      <c r="E16" s="53">
        <v>201376</v>
      </c>
      <c r="F16" s="53">
        <v>100688</v>
      </c>
      <c r="G16" s="54">
        <f t="shared" si="0"/>
        <v>0.5</v>
      </c>
      <c r="H16" s="62">
        <v>225544</v>
      </c>
      <c r="I16" s="63">
        <f t="shared" si="1"/>
        <v>140963.19999999998</v>
      </c>
      <c r="J16" s="63">
        <f t="shared" si="2"/>
        <v>180435.2</v>
      </c>
      <c r="K16" s="172">
        <f t="shared" si="3"/>
        <v>140963</v>
      </c>
      <c r="L16" s="156"/>
      <c r="M16" s="173"/>
      <c r="N16" s="173"/>
      <c r="O16" s="190"/>
      <c r="P16" s="13"/>
    </row>
    <row r="17" spans="1:16" ht="15.75">
      <c r="A17" s="13">
        <v>13</v>
      </c>
      <c r="B17" s="60">
        <v>512599895</v>
      </c>
      <c r="C17" s="61" t="s">
        <v>62</v>
      </c>
      <c r="D17" s="65" t="s">
        <v>63</v>
      </c>
      <c r="E17" s="53">
        <v>167937</v>
      </c>
      <c r="F17" s="53">
        <v>83969</v>
      </c>
      <c r="G17" s="54">
        <f t="shared" si="0"/>
        <v>0.5000029773069663</v>
      </c>
      <c r="H17" s="62">
        <v>199009</v>
      </c>
      <c r="I17" s="63">
        <f t="shared" si="1"/>
        <v>117555.9</v>
      </c>
      <c r="J17" s="63">
        <f t="shared" si="2"/>
        <v>159207.2</v>
      </c>
      <c r="K17" s="172">
        <f t="shared" si="3"/>
        <v>117556</v>
      </c>
      <c r="L17" s="156"/>
      <c r="M17" s="173"/>
      <c r="N17" s="173"/>
      <c r="O17" s="190"/>
      <c r="P17" s="13"/>
    </row>
    <row r="18" spans="1:16" ht="15.75">
      <c r="A18">
        <v>14</v>
      </c>
      <c r="B18" s="60">
        <v>512805367</v>
      </c>
      <c r="C18" s="61" t="s">
        <v>64</v>
      </c>
      <c r="D18" s="61" t="s">
        <v>60</v>
      </c>
      <c r="E18" s="53">
        <v>193715.75</v>
      </c>
      <c r="F18" s="53">
        <v>96858</v>
      </c>
      <c r="G18" s="54">
        <f t="shared" si="0"/>
        <v>0.5000006452753584</v>
      </c>
      <c r="H18" s="62">
        <v>229559</v>
      </c>
      <c r="I18" s="63">
        <f t="shared" si="1"/>
        <v>135601.025</v>
      </c>
      <c r="J18" s="63">
        <f t="shared" si="2"/>
        <v>183647.2</v>
      </c>
      <c r="K18" s="172">
        <f t="shared" si="3"/>
        <v>135601</v>
      </c>
      <c r="L18" s="156"/>
      <c r="M18" s="173"/>
      <c r="N18" s="173"/>
      <c r="O18" s="190"/>
      <c r="P18" s="13"/>
    </row>
    <row r="19" spans="1:16" ht="15.75">
      <c r="A19" s="13">
        <v>15</v>
      </c>
      <c r="B19" s="105">
        <v>513134411</v>
      </c>
      <c r="C19" s="106" t="s">
        <v>677</v>
      </c>
      <c r="D19" s="106" t="s">
        <v>60</v>
      </c>
      <c r="E19" s="53">
        <v>323352.25</v>
      </c>
      <c r="F19" s="53">
        <v>161676</v>
      </c>
      <c r="G19" s="54">
        <f t="shared" si="0"/>
        <v>0.4999996134246785</v>
      </c>
      <c r="H19" s="62">
        <v>383180</v>
      </c>
      <c r="I19" s="63">
        <f t="shared" si="1"/>
        <v>226346.57499999998</v>
      </c>
      <c r="J19" s="63">
        <f t="shared" si="2"/>
        <v>306544</v>
      </c>
      <c r="K19" s="172">
        <f t="shared" si="3"/>
        <v>226347</v>
      </c>
      <c r="L19" s="156"/>
      <c r="M19" s="173"/>
      <c r="N19" s="173"/>
      <c r="O19" s="190"/>
      <c r="P19" s="13"/>
    </row>
    <row r="20" spans="1:16" ht="15">
      <c r="A20">
        <v>16</v>
      </c>
      <c r="B20" s="16">
        <v>513151456</v>
      </c>
      <c r="C20" s="16" t="s">
        <v>427</v>
      </c>
      <c r="D20" s="16" t="s">
        <v>94</v>
      </c>
      <c r="E20" s="53">
        <v>318932</v>
      </c>
      <c r="F20" s="53">
        <v>159466</v>
      </c>
      <c r="G20" s="54">
        <f t="shared" si="0"/>
        <v>0.5</v>
      </c>
      <c r="H20" s="62">
        <v>376721</v>
      </c>
      <c r="I20" s="63">
        <f t="shared" si="1"/>
        <v>223252.4</v>
      </c>
      <c r="J20" s="63">
        <f t="shared" si="2"/>
        <v>301376.8</v>
      </c>
      <c r="K20" s="172">
        <f t="shared" si="3"/>
        <v>223252</v>
      </c>
      <c r="L20" s="156"/>
      <c r="M20" s="173"/>
      <c r="N20" s="173"/>
      <c r="O20" s="190"/>
      <c r="P20" s="13"/>
    </row>
    <row r="21" spans="1:16" ht="15.75">
      <c r="A21" s="13">
        <v>17</v>
      </c>
      <c r="B21" s="60">
        <v>513275222</v>
      </c>
      <c r="C21" s="61" t="s">
        <v>65</v>
      </c>
      <c r="D21" s="65" t="s">
        <v>63</v>
      </c>
      <c r="E21" s="53">
        <v>106225.25</v>
      </c>
      <c r="F21" s="53">
        <v>53113</v>
      </c>
      <c r="G21" s="54">
        <f t="shared" si="0"/>
        <v>0.5000035302341016</v>
      </c>
      <c r="H21" s="62">
        <v>55679</v>
      </c>
      <c r="I21" s="63">
        <f t="shared" si="1"/>
        <v>74357.67499999999</v>
      </c>
      <c r="J21" s="63">
        <f t="shared" si="2"/>
        <v>44543.200000000004</v>
      </c>
      <c r="K21" s="172">
        <f t="shared" si="3"/>
        <v>0</v>
      </c>
      <c r="L21" s="156"/>
      <c r="M21" s="173"/>
      <c r="N21" s="173"/>
      <c r="O21" s="190"/>
      <c r="P21" s="13"/>
    </row>
    <row r="22" spans="1:16" ht="15.75">
      <c r="A22">
        <v>18</v>
      </c>
      <c r="B22" s="60">
        <v>513444562</v>
      </c>
      <c r="C22" s="153" t="s">
        <v>720</v>
      </c>
      <c r="D22" s="16" t="s">
        <v>63</v>
      </c>
      <c r="E22" s="53">
        <v>138093</v>
      </c>
      <c r="F22" s="53">
        <v>69047</v>
      </c>
      <c r="G22" s="54">
        <f t="shared" si="0"/>
        <v>0.5000036207483363</v>
      </c>
      <c r="H22" s="62">
        <v>144765</v>
      </c>
      <c r="I22" s="63">
        <f t="shared" si="1"/>
        <v>96665.09999999999</v>
      </c>
      <c r="J22" s="63">
        <f t="shared" si="2"/>
        <v>115812</v>
      </c>
      <c r="K22" s="172">
        <f t="shared" si="3"/>
        <v>96665</v>
      </c>
      <c r="L22" s="156"/>
      <c r="M22" s="173"/>
      <c r="N22" s="173"/>
      <c r="O22" s="190"/>
      <c r="P22" s="13"/>
    </row>
    <row r="23" spans="1:16" ht="15.75">
      <c r="A23" s="13">
        <v>19</v>
      </c>
      <c r="B23" s="105">
        <v>513590042</v>
      </c>
      <c r="C23" s="106" t="s">
        <v>678</v>
      </c>
      <c r="D23" s="107" t="s">
        <v>63</v>
      </c>
      <c r="E23" s="53">
        <v>276516.4</v>
      </c>
      <c r="F23" s="53">
        <v>138258</v>
      </c>
      <c r="G23" s="54">
        <f t="shared" si="0"/>
        <v>0.4999992767155944</v>
      </c>
      <c r="H23" s="62">
        <v>327667</v>
      </c>
      <c r="I23" s="63">
        <f t="shared" si="1"/>
        <v>193561.48</v>
      </c>
      <c r="J23" s="63">
        <f t="shared" si="2"/>
        <v>262133.6</v>
      </c>
      <c r="K23" s="172">
        <f t="shared" si="3"/>
        <v>193561</v>
      </c>
      <c r="L23" s="156"/>
      <c r="M23" s="173"/>
      <c r="N23" s="173"/>
      <c r="O23" s="190"/>
      <c r="P23" s="13"/>
    </row>
    <row r="24" spans="1:16" ht="15.75">
      <c r="A24">
        <v>20</v>
      </c>
      <c r="B24" s="85">
        <v>513692830</v>
      </c>
      <c r="C24" s="61" t="s">
        <v>320</v>
      </c>
      <c r="D24" s="65" t="s">
        <v>63</v>
      </c>
      <c r="E24" s="53">
        <v>132227.25</v>
      </c>
      <c r="F24" s="53">
        <v>66114</v>
      </c>
      <c r="G24" s="54">
        <f t="shared" si="0"/>
        <v>0.5000028360266133</v>
      </c>
      <c r="H24" s="62">
        <v>163919</v>
      </c>
      <c r="I24" s="63">
        <f t="shared" si="1"/>
        <v>92559.075</v>
      </c>
      <c r="J24" s="63">
        <f t="shared" si="2"/>
        <v>131135.2</v>
      </c>
      <c r="K24" s="172">
        <f t="shared" si="3"/>
        <v>92559</v>
      </c>
      <c r="L24" s="156"/>
      <c r="M24" s="173"/>
      <c r="N24" s="173"/>
      <c r="O24" s="190"/>
      <c r="P24" s="13"/>
    </row>
    <row r="25" spans="1:16" ht="15.75">
      <c r="A25" s="13">
        <v>21</v>
      </c>
      <c r="B25" s="60">
        <v>513739888</v>
      </c>
      <c r="C25" s="61" t="s">
        <v>495</v>
      </c>
      <c r="D25" s="65" t="s">
        <v>63</v>
      </c>
      <c r="E25" s="53">
        <v>134375</v>
      </c>
      <c r="F25" s="53">
        <v>67188</v>
      </c>
      <c r="G25" s="54">
        <f t="shared" si="0"/>
        <v>0.5000037209302326</v>
      </c>
      <c r="H25" s="62">
        <v>128062</v>
      </c>
      <c r="I25" s="63">
        <f t="shared" si="1"/>
        <v>94062.5</v>
      </c>
      <c r="J25" s="63">
        <f t="shared" si="2"/>
        <v>102449.6</v>
      </c>
      <c r="K25" s="172">
        <f t="shared" si="3"/>
        <v>94063</v>
      </c>
      <c r="L25" s="156"/>
      <c r="M25" s="173"/>
      <c r="N25" s="173"/>
      <c r="O25" s="190"/>
      <c r="P25" s="13"/>
    </row>
    <row r="26" spans="1:16" ht="15.75">
      <c r="A26">
        <v>22</v>
      </c>
      <c r="B26" s="60">
        <v>513997569</v>
      </c>
      <c r="C26" s="61" t="s">
        <v>321</v>
      </c>
      <c r="D26" s="65" t="s">
        <v>63</v>
      </c>
      <c r="E26" s="53">
        <v>398776.5</v>
      </c>
      <c r="F26" s="53">
        <v>199388</v>
      </c>
      <c r="G26" s="54">
        <f t="shared" si="0"/>
        <v>0.4999993730824158</v>
      </c>
      <c r="H26" s="62">
        <v>448469</v>
      </c>
      <c r="I26" s="63">
        <f t="shared" si="1"/>
        <v>279143.55</v>
      </c>
      <c r="J26" s="63">
        <f t="shared" si="2"/>
        <v>358775.2</v>
      </c>
      <c r="K26" s="172">
        <f t="shared" si="3"/>
        <v>279144</v>
      </c>
      <c r="L26" s="156"/>
      <c r="M26" s="173"/>
      <c r="N26" s="173"/>
      <c r="O26" s="190"/>
      <c r="P26" s="13"/>
    </row>
    <row r="27" spans="1:16" ht="15.75">
      <c r="A27" s="13">
        <v>23</v>
      </c>
      <c r="B27" s="101">
        <v>514010149</v>
      </c>
      <c r="C27" s="103" t="s">
        <v>659</v>
      </c>
      <c r="D27" s="103" t="s">
        <v>60</v>
      </c>
      <c r="E27" s="53">
        <v>53135</v>
      </c>
      <c r="F27" s="53">
        <v>24640</v>
      </c>
      <c r="G27" s="54">
        <f t="shared" si="0"/>
        <v>0.4637244753928672</v>
      </c>
      <c r="H27" s="62">
        <v>128062</v>
      </c>
      <c r="I27" s="63">
        <f t="shared" si="1"/>
        <v>37194.5</v>
      </c>
      <c r="J27" s="63">
        <f t="shared" si="2"/>
        <v>102449.6</v>
      </c>
      <c r="K27" s="172">
        <f t="shared" si="3"/>
        <v>37195</v>
      </c>
      <c r="L27" s="156"/>
      <c r="M27" s="173"/>
      <c r="N27" s="173"/>
      <c r="O27" s="190"/>
      <c r="P27" s="13"/>
    </row>
    <row r="28" spans="1:16" ht="15.75">
      <c r="A28">
        <v>24</v>
      </c>
      <c r="B28" s="60">
        <v>514490515</v>
      </c>
      <c r="C28" s="61" t="s">
        <v>428</v>
      </c>
      <c r="D28" s="65" t="s">
        <v>63</v>
      </c>
      <c r="E28" s="53">
        <v>167085</v>
      </c>
      <c r="F28" s="53">
        <v>83543</v>
      </c>
      <c r="G28" s="54">
        <f t="shared" si="0"/>
        <v>0.5000029924888529</v>
      </c>
      <c r="H28" s="62">
        <v>256792</v>
      </c>
      <c r="I28" s="63">
        <f t="shared" si="1"/>
        <v>116959.49999999999</v>
      </c>
      <c r="J28" s="63">
        <f t="shared" si="2"/>
        <v>205433.6</v>
      </c>
      <c r="K28" s="172">
        <f t="shared" si="3"/>
        <v>116960</v>
      </c>
      <c r="L28" s="156"/>
      <c r="M28" s="173"/>
      <c r="N28" s="173"/>
      <c r="O28" s="190"/>
      <c r="P28" s="13"/>
    </row>
    <row r="29" spans="1:16" ht="15.75">
      <c r="A29" s="13">
        <v>25</v>
      </c>
      <c r="B29" s="108">
        <v>514712884</v>
      </c>
      <c r="C29" s="61" t="s">
        <v>680</v>
      </c>
      <c r="D29" s="68" t="s">
        <v>681</v>
      </c>
      <c r="E29" s="53">
        <v>231887</v>
      </c>
      <c r="F29" s="53">
        <v>115944</v>
      </c>
      <c r="G29" s="54">
        <f t="shared" si="0"/>
        <v>0.5000021562226429</v>
      </c>
      <c r="H29" s="62">
        <v>71542</v>
      </c>
      <c r="I29" s="63">
        <f t="shared" si="1"/>
        <v>162320.9</v>
      </c>
      <c r="J29" s="63">
        <f t="shared" si="2"/>
        <v>57233.600000000006</v>
      </c>
      <c r="K29" s="172">
        <f t="shared" si="3"/>
        <v>0</v>
      </c>
      <c r="L29" s="156"/>
      <c r="M29" s="173"/>
      <c r="N29" s="173"/>
      <c r="O29" s="190"/>
      <c r="P29" s="13"/>
    </row>
    <row r="30" spans="1:16" ht="15.75">
      <c r="A30">
        <v>26</v>
      </c>
      <c r="B30" s="108">
        <v>514713197</v>
      </c>
      <c r="C30" s="61" t="s">
        <v>682</v>
      </c>
      <c r="D30" s="68" t="s">
        <v>94</v>
      </c>
      <c r="E30" s="53">
        <v>78144</v>
      </c>
      <c r="F30" s="53">
        <v>39072</v>
      </c>
      <c r="G30" s="54">
        <f t="shared" si="0"/>
        <v>0.5</v>
      </c>
      <c r="H30" s="62">
        <v>67914</v>
      </c>
      <c r="I30" s="63">
        <f t="shared" si="1"/>
        <v>54700.799999999996</v>
      </c>
      <c r="J30" s="63">
        <f t="shared" si="2"/>
        <v>54331.200000000004</v>
      </c>
      <c r="K30" s="172">
        <f t="shared" si="3"/>
        <v>54331</v>
      </c>
      <c r="L30" s="156"/>
      <c r="M30" s="173"/>
      <c r="N30" s="173"/>
      <c r="O30" s="190"/>
      <c r="P30" s="13"/>
    </row>
    <row r="31" spans="1:16" ht="15.75">
      <c r="A31" s="13">
        <v>27</v>
      </c>
      <c r="B31" s="61">
        <v>514713361</v>
      </c>
      <c r="C31" s="61" t="s">
        <v>683</v>
      </c>
      <c r="D31" s="68" t="s">
        <v>94</v>
      </c>
      <c r="E31" s="53">
        <v>80489</v>
      </c>
      <c r="F31" s="53">
        <v>40245</v>
      </c>
      <c r="G31" s="54">
        <f t="shared" si="0"/>
        <v>0.5000062120289729</v>
      </c>
      <c r="H31" s="62">
        <v>34423</v>
      </c>
      <c r="I31" s="63">
        <f t="shared" si="1"/>
        <v>56342.299999999996</v>
      </c>
      <c r="J31" s="63">
        <f t="shared" si="2"/>
        <v>27538.4</v>
      </c>
      <c r="K31" s="172">
        <f t="shared" si="3"/>
        <v>0</v>
      </c>
      <c r="L31" s="156"/>
      <c r="M31" s="173"/>
      <c r="N31" s="173"/>
      <c r="O31" s="190"/>
      <c r="P31" s="13"/>
    </row>
    <row r="32" spans="1:16" ht="15.75">
      <c r="A32">
        <v>28</v>
      </c>
      <c r="B32" s="60">
        <v>514841907</v>
      </c>
      <c r="C32" s="61" t="s">
        <v>66</v>
      </c>
      <c r="D32" s="61" t="s">
        <v>60</v>
      </c>
      <c r="E32" s="53">
        <f>127470.75+193530</f>
        <v>321000.75</v>
      </c>
      <c r="F32" s="53">
        <f>63735+96765</f>
        <v>160500</v>
      </c>
      <c r="G32" s="54">
        <f t="shared" si="0"/>
        <v>0.4999988317784304</v>
      </c>
      <c r="H32" s="62">
        <f>133629+276337</f>
        <v>409966</v>
      </c>
      <c r="I32" s="63">
        <f t="shared" si="1"/>
        <v>224700.525</v>
      </c>
      <c r="J32" s="63">
        <f t="shared" si="2"/>
        <v>327972.80000000005</v>
      </c>
      <c r="K32" s="172">
        <f t="shared" si="3"/>
        <v>224701</v>
      </c>
      <c r="L32" s="156"/>
      <c r="M32" s="173"/>
      <c r="N32" s="173"/>
      <c r="O32" s="190"/>
      <c r="P32" s="13"/>
    </row>
    <row r="33" spans="1:16" ht="15.75">
      <c r="A33" s="13">
        <v>29</v>
      </c>
      <c r="B33" s="60">
        <v>514948637</v>
      </c>
      <c r="C33" s="61" t="s">
        <v>322</v>
      </c>
      <c r="D33" s="65" t="s">
        <v>63</v>
      </c>
      <c r="E33" s="53">
        <v>202850</v>
      </c>
      <c r="F33" s="53">
        <v>101425</v>
      </c>
      <c r="G33" s="54">
        <f t="shared" si="0"/>
        <v>0.5</v>
      </c>
      <c r="H33" s="62">
        <v>370262</v>
      </c>
      <c r="I33" s="63">
        <f t="shared" si="1"/>
        <v>141995</v>
      </c>
      <c r="J33" s="63">
        <f t="shared" si="2"/>
        <v>296209.60000000003</v>
      </c>
      <c r="K33" s="172">
        <f t="shared" si="3"/>
        <v>141995</v>
      </c>
      <c r="L33" s="156"/>
      <c r="M33" s="173"/>
      <c r="N33" s="173"/>
      <c r="O33" s="190"/>
      <c r="P33" s="13"/>
    </row>
    <row r="34" spans="1:16" ht="15.75">
      <c r="A34">
        <v>30</v>
      </c>
      <c r="B34" s="60">
        <v>515010916</v>
      </c>
      <c r="C34" s="61" t="s">
        <v>684</v>
      </c>
      <c r="D34" s="65" t="s">
        <v>63</v>
      </c>
      <c r="E34" s="53">
        <v>55390</v>
      </c>
      <c r="F34" s="53">
        <v>27695</v>
      </c>
      <c r="G34" s="54">
        <f t="shared" si="0"/>
        <v>0.5</v>
      </c>
      <c r="H34" s="62">
        <v>98457</v>
      </c>
      <c r="I34" s="63">
        <f t="shared" si="1"/>
        <v>38773</v>
      </c>
      <c r="J34" s="63">
        <f t="shared" si="2"/>
        <v>78765.6</v>
      </c>
      <c r="K34" s="172">
        <f t="shared" si="3"/>
        <v>38773</v>
      </c>
      <c r="L34" s="156"/>
      <c r="M34" s="173"/>
      <c r="N34" s="173"/>
      <c r="O34" s="190"/>
      <c r="P34" s="13"/>
    </row>
    <row r="35" spans="1:16" ht="15.75">
      <c r="A35" s="13">
        <v>31</v>
      </c>
      <c r="B35" s="60">
        <v>515042414</v>
      </c>
      <c r="C35" s="61" t="s">
        <v>323</v>
      </c>
      <c r="D35" s="61" t="s">
        <v>60</v>
      </c>
      <c r="E35" s="53">
        <v>253820</v>
      </c>
      <c r="F35" s="53">
        <v>126910</v>
      </c>
      <c r="G35" s="54">
        <f t="shared" si="0"/>
        <v>0.5</v>
      </c>
      <c r="H35" s="62">
        <v>300783</v>
      </c>
      <c r="I35" s="63">
        <f t="shared" si="1"/>
        <v>177674</v>
      </c>
      <c r="J35" s="63">
        <f t="shared" si="2"/>
        <v>240626.40000000002</v>
      </c>
      <c r="K35" s="172">
        <f t="shared" si="3"/>
        <v>177674</v>
      </c>
      <c r="L35" s="156"/>
      <c r="M35" s="173"/>
      <c r="N35" s="173"/>
      <c r="O35" s="190"/>
      <c r="P35" s="13"/>
    </row>
    <row r="36" spans="1:16" ht="15.75">
      <c r="A36">
        <v>32</v>
      </c>
      <c r="B36" s="60">
        <v>515488534</v>
      </c>
      <c r="C36" s="61" t="s">
        <v>496</v>
      </c>
      <c r="D36" s="61" t="s">
        <v>60</v>
      </c>
      <c r="E36" s="53">
        <v>248810.75</v>
      </c>
      <c r="F36" s="53">
        <v>124405</v>
      </c>
      <c r="G36" s="54">
        <f t="shared" si="0"/>
        <v>0.49999849283039416</v>
      </c>
      <c r="H36" s="62">
        <v>294848</v>
      </c>
      <c r="I36" s="63">
        <f t="shared" si="1"/>
        <v>174167.525</v>
      </c>
      <c r="J36" s="63">
        <f t="shared" si="2"/>
        <v>235878.40000000002</v>
      </c>
      <c r="K36" s="172">
        <f t="shared" si="3"/>
        <v>174168</v>
      </c>
      <c r="L36" s="156"/>
      <c r="M36" s="173"/>
      <c r="N36" s="173"/>
      <c r="O36" s="190"/>
      <c r="P36" s="13"/>
    </row>
    <row r="37" spans="1:16" ht="15.75">
      <c r="A37" s="13">
        <v>33</v>
      </c>
      <c r="B37" s="60">
        <v>520041831</v>
      </c>
      <c r="C37" s="60" t="s">
        <v>619</v>
      </c>
      <c r="D37" s="61" t="s">
        <v>94</v>
      </c>
      <c r="E37" s="53">
        <v>208952</v>
      </c>
      <c r="F37" s="53">
        <v>104476</v>
      </c>
      <c r="G37" s="54">
        <f aca="true" t="shared" si="4" ref="G37:G68">F37/E37</f>
        <v>0.5</v>
      </c>
      <c r="H37" s="62">
        <v>154309</v>
      </c>
      <c r="I37" s="63">
        <f t="shared" si="1"/>
        <v>146266.4</v>
      </c>
      <c r="J37" s="63">
        <f t="shared" si="2"/>
        <v>123447.20000000001</v>
      </c>
      <c r="K37" s="172">
        <f t="shared" si="3"/>
        <v>123447</v>
      </c>
      <c r="L37" s="156"/>
      <c r="M37" s="173"/>
      <c r="N37" s="173"/>
      <c r="O37" s="190"/>
      <c r="P37" s="13"/>
    </row>
    <row r="38" spans="1:16" ht="15.75">
      <c r="A38">
        <v>34</v>
      </c>
      <c r="B38" s="60">
        <v>580000263</v>
      </c>
      <c r="C38" s="60" t="s">
        <v>620</v>
      </c>
      <c r="D38" s="61" t="s">
        <v>72</v>
      </c>
      <c r="E38" s="53">
        <v>52553.25</v>
      </c>
      <c r="F38" s="53">
        <v>26277</v>
      </c>
      <c r="G38" s="54">
        <f t="shared" si="4"/>
        <v>0.5000071356195859</v>
      </c>
      <c r="H38" s="62">
        <v>77502</v>
      </c>
      <c r="I38" s="63">
        <f t="shared" si="1"/>
        <v>36787.274999999994</v>
      </c>
      <c r="J38" s="63">
        <f t="shared" si="2"/>
        <v>62001.600000000006</v>
      </c>
      <c r="K38" s="172">
        <f t="shared" si="3"/>
        <v>36787</v>
      </c>
      <c r="L38" s="156"/>
      <c r="M38" s="173"/>
      <c r="N38" s="173"/>
      <c r="O38" s="190"/>
      <c r="P38" s="13"/>
    </row>
    <row r="39" spans="1:16" ht="15.75">
      <c r="A39" s="13">
        <v>35</v>
      </c>
      <c r="B39" s="60">
        <v>580003499</v>
      </c>
      <c r="C39" s="60" t="s">
        <v>621</v>
      </c>
      <c r="D39" s="61" t="s">
        <v>72</v>
      </c>
      <c r="E39" s="53">
        <v>9948</v>
      </c>
      <c r="F39" s="53">
        <v>4974</v>
      </c>
      <c r="G39" s="54">
        <f t="shared" si="4"/>
        <v>0.5</v>
      </c>
      <c r="H39" s="62">
        <v>6367</v>
      </c>
      <c r="I39" s="63">
        <f t="shared" si="1"/>
        <v>6963.599999999999</v>
      </c>
      <c r="J39" s="63">
        <f t="shared" si="2"/>
        <v>5093.6</v>
      </c>
      <c r="K39" s="172">
        <f t="shared" si="3"/>
        <v>5094</v>
      </c>
      <c r="L39" s="156"/>
      <c r="M39" s="173"/>
      <c r="N39" s="173"/>
      <c r="O39" s="190"/>
      <c r="P39" s="13"/>
    </row>
    <row r="40" spans="1:16" ht="15.75">
      <c r="A40">
        <v>36</v>
      </c>
      <c r="B40" s="61">
        <v>580007326</v>
      </c>
      <c r="C40" s="61" t="s">
        <v>67</v>
      </c>
      <c r="D40" s="61" t="s">
        <v>68</v>
      </c>
      <c r="E40" s="53">
        <v>98468.75</v>
      </c>
      <c r="F40" s="53">
        <v>49234</v>
      </c>
      <c r="G40" s="54">
        <f t="shared" si="4"/>
        <v>0.4999961916851793</v>
      </c>
      <c r="H40" s="62">
        <v>91910</v>
      </c>
      <c r="I40" s="63">
        <f t="shared" si="1"/>
        <v>68928.125</v>
      </c>
      <c r="J40" s="63">
        <f t="shared" si="2"/>
        <v>73528</v>
      </c>
      <c r="K40" s="172">
        <f t="shared" si="3"/>
        <v>68928</v>
      </c>
      <c r="L40" s="156"/>
      <c r="M40" s="173"/>
      <c r="N40" s="173"/>
      <c r="O40" s="190"/>
      <c r="P40" s="13"/>
    </row>
    <row r="41" spans="1:16" ht="15.75">
      <c r="A41" s="13">
        <v>37</v>
      </c>
      <c r="B41" s="60">
        <v>580007615</v>
      </c>
      <c r="C41" s="61" t="s">
        <v>497</v>
      </c>
      <c r="D41" s="61" t="s">
        <v>60</v>
      </c>
      <c r="E41" s="53">
        <v>9948</v>
      </c>
      <c r="F41" s="53">
        <v>4974</v>
      </c>
      <c r="G41" s="54">
        <f t="shared" si="4"/>
        <v>0.5</v>
      </c>
      <c r="H41" s="77" t="e">
        <v>#N/A</v>
      </c>
      <c r="I41" s="63">
        <f t="shared" si="1"/>
        <v>6963.599999999999</v>
      </c>
      <c r="J41" s="63" t="e">
        <f t="shared" si="2"/>
        <v>#N/A</v>
      </c>
      <c r="K41" s="172" t="e">
        <f t="shared" si="3"/>
        <v>#N/A</v>
      </c>
      <c r="L41" s="156"/>
      <c r="M41" s="173"/>
      <c r="N41" s="173"/>
      <c r="O41" s="190"/>
      <c r="P41" s="13"/>
    </row>
    <row r="42" spans="1:16" ht="15.75">
      <c r="A42">
        <v>38</v>
      </c>
      <c r="B42" s="61">
        <v>580013340</v>
      </c>
      <c r="C42" s="61" t="s">
        <v>69</v>
      </c>
      <c r="D42" s="61" t="s">
        <v>60</v>
      </c>
      <c r="E42" s="53">
        <v>55656</v>
      </c>
      <c r="F42" s="53">
        <v>27828</v>
      </c>
      <c r="G42" s="54">
        <f t="shared" si="4"/>
        <v>0.5</v>
      </c>
      <c r="H42" s="62">
        <v>26224</v>
      </c>
      <c r="I42" s="63">
        <f t="shared" si="1"/>
        <v>38959.2</v>
      </c>
      <c r="J42" s="63">
        <f t="shared" si="2"/>
        <v>20979.2</v>
      </c>
      <c r="K42" s="172">
        <f t="shared" si="3"/>
        <v>0</v>
      </c>
      <c r="L42" s="156"/>
      <c r="M42" s="173"/>
      <c r="N42" s="173"/>
      <c r="O42" s="190"/>
      <c r="P42" s="13"/>
    </row>
    <row r="43" spans="1:16" ht="15.75">
      <c r="A43" s="13">
        <v>39</v>
      </c>
      <c r="B43" s="108">
        <v>580015758</v>
      </c>
      <c r="C43" s="61" t="s">
        <v>748</v>
      </c>
      <c r="D43" s="61" t="s">
        <v>72</v>
      </c>
      <c r="E43" s="53">
        <v>1112.25</v>
      </c>
      <c r="F43" s="53">
        <v>556</v>
      </c>
      <c r="G43" s="54">
        <f t="shared" si="4"/>
        <v>0.4998876151944257</v>
      </c>
      <c r="H43" s="62">
        <v>1388</v>
      </c>
      <c r="I43" s="63">
        <f t="shared" si="1"/>
        <v>778.5749999999999</v>
      </c>
      <c r="J43" s="63">
        <f t="shared" si="2"/>
        <v>1110.4</v>
      </c>
      <c r="K43" s="172">
        <f t="shared" si="3"/>
        <v>779</v>
      </c>
      <c r="L43" s="156"/>
      <c r="M43" s="173"/>
      <c r="N43" s="173"/>
      <c r="O43" s="190"/>
      <c r="P43" s="13"/>
    </row>
    <row r="44" spans="1:16" ht="15.75">
      <c r="A44">
        <v>40</v>
      </c>
      <c r="B44" s="60">
        <v>580016715</v>
      </c>
      <c r="C44" s="61" t="s">
        <v>70</v>
      </c>
      <c r="D44" s="65" t="s">
        <v>63</v>
      </c>
      <c r="E44" s="53">
        <f>1061756.96967592+268388</f>
        <v>1330144.96967592</v>
      </c>
      <c r="F44" s="53">
        <f>530878+107355</f>
        <v>638233</v>
      </c>
      <c r="G44" s="54">
        <f t="shared" si="4"/>
        <v>0.47982213559436365</v>
      </c>
      <c r="H44" s="62">
        <f>927928+303239</f>
        <v>1231167</v>
      </c>
      <c r="I44" s="63">
        <f t="shared" si="1"/>
        <v>931101.478773144</v>
      </c>
      <c r="J44" s="63">
        <f t="shared" si="2"/>
        <v>984933.6000000001</v>
      </c>
      <c r="K44" s="172">
        <f t="shared" si="3"/>
        <v>931101</v>
      </c>
      <c r="L44" s="156"/>
      <c r="M44" s="173"/>
      <c r="N44" s="173"/>
      <c r="O44" s="190"/>
      <c r="P44" s="13"/>
    </row>
    <row r="45" spans="1:16" ht="15.75">
      <c r="A45" s="13">
        <v>41</v>
      </c>
      <c r="B45" s="87">
        <v>580026003</v>
      </c>
      <c r="C45" s="61" t="s">
        <v>685</v>
      </c>
      <c r="D45" s="61" t="s">
        <v>68</v>
      </c>
      <c r="E45" s="53">
        <v>260681</v>
      </c>
      <c r="F45" s="53">
        <v>130341</v>
      </c>
      <c r="G45" s="54">
        <f t="shared" si="4"/>
        <v>0.5000019180530993</v>
      </c>
      <c r="H45" s="62">
        <v>446726</v>
      </c>
      <c r="I45" s="63">
        <f t="shared" si="1"/>
        <v>182476.69999999998</v>
      </c>
      <c r="J45" s="63">
        <f t="shared" si="2"/>
        <v>357380.80000000005</v>
      </c>
      <c r="K45" s="172">
        <f t="shared" si="3"/>
        <v>182477</v>
      </c>
      <c r="L45" s="156"/>
      <c r="M45" s="173"/>
      <c r="N45" s="173"/>
      <c r="O45" s="190"/>
      <c r="P45" s="13"/>
    </row>
    <row r="46" spans="1:16" ht="15">
      <c r="A46">
        <v>42</v>
      </c>
      <c r="B46" s="66">
        <v>580026896</v>
      </c>
      <c r="C46" s="16" t="s">
        <v>560</v>
      </c>
      <c r="D46" s="16" t="s">
        <v>72</v>
      </c>
      <c r="E46" s="53">
        <v>10532.75</v>
      </c>
      <c r="F46" s="53">
        <v>5266</v>
      </c>
      <c r="G46" s="54">
        <f t="shared" si="4"/>
        <v>0.49996439676247895</v>
      </c>
      <c r="H46" s="62">
        <v>7743</v>
      </c>
      <c r="I46" s="63">
        <f t="shared" si="1"/>
        <v>7372.924999999999</v>
      </c>
      <c r="J46" s="63">
        <f t="shared" si="2"/>
        <v>6194.400000000001</v>
      </c>
      <c r="K46" s="172">
        <f t="shared" si="3"/>
        <v>6194</v>
      </c>
      <c r="L46" s="156"/>
      <c r="M46" s="173"/>
      <c r="N46" s="173"/>
      <c r="O46" s="190"/>
      <c r="P46" s="13"/>
    </row>
    <row r="47" spans="1:16" ht="15.75">
      <c r="A47" s="13">
        <v>43</v>
      </c>
      <c r="B47" s="60">
        <v>580029874</v>
      </c>
      <c r="C47" s="60" t="s">
        <v>622</v>
      </c>
      <c r="D47" s="61" t="s">
        <v>68</v>
      </c>
      <c r="E47" s="53">
        <v>13475.25</v>
      </c>
      <c r="F47" s="53">
        <v>6738</v>
      </c>
      <c r="G47" s="54">
        <f t="shared" si="4"/>
        <v>0.5000278287972394</v>
      </c>
      <c r="H47" s="62">
        <v>25211</v>
      </c>
      <c r="I47" s="63">
        <f t="shared" si="1"/>
        <v>9432.675</v>
      </c>
      <c r="J47" s="63">
        <f t="shared" si="2"/>
        <v>20168.800000000003</v>
      </c>
      <c r="K47" s="172">
        <f t="shared" si="3"/>
        <v>9433</v>
      </c>
      <c r="L47" s="156"/>
      <c r="M47" s="173"/>
      <c r="N47" s="173"/>
      <c r="O47" s="190"/>
      <c r="P47" s="13"/>
    </row>
    <row r="48" spans="1:16" ht="15.75">
      <c r="A48">
        <v>44</v>
      </c>
      <c r="B48" s="61">
        <v>580033116</v>
      </c>
      <c r="C48" s="61" t="s">
        <v>324</v>
      </c>
      <c r="D48" s="61" t="s">
        <v>68</v>
      </c>
      <c r="E48" s="53">
        <v>9948</v>
      </c>
      <c r="F48" s="53">
        <v>4974</v>
      </c>
      <c r="G48" s="54">
        <f t="shared" si="4"/>
        <v>0.5</v>
      </c>
      <c r="H48" s="62">
        <v>6367</v>
      </c>
      <c r="I48" s="63">
        <f t="shared" si="1"/>
        <v>6963.599999999999</v>
      </c>
      <c r="J48" s="63">
        <f t="shared" si="2"/>
        <v>5093.6</v>
      </c>
      <c r="K48" s="172">
        <f t="shared" si="3"/>
        <v>5094</v>
      </c>
      <c r="L48" s="156"/>
      <c r="M48" s="173"/>
      <c r="N48" s="173"/>
      <c r="O48" s="190"/>
      <c r="P48" s="13"/>
    </row>
    <row r="49" spans="1:16" ht="15.75">
      <c r="A49" s="13">
        <v>45</v>
      </c>
      <c r="B49" s="60">
        <v>580036242</v>
      </c>
      <c r="C49" s="153" t="s">
        <v>721</v>
      </c>
      <c r="D49" s="16" t="s">
        <v>68</v>
      </c>
      <c r="E49" s="53">
        <v>633676.2</v>
      </c>
      <c r="F49" s="53">
        <v>316838</v>
      </c>
      <c r="G49" s="54">
        <f t="shared" si="4"/>
        <v>0.49999984219069615</v>
      </c>
      <c r="H49" s="62">
        <v>849112</v>
      </c>
      <c r="I49" s="63">
        <f t="shared" si="1"/>
        <v>443573.33999999997</v>
      </c>
      <c r="J49" s="63">
        <f t="shared" si="2"/>
        <v>679289.6000000001</v>
      </c>
      <c r="K49" s="172">
        <f t="shared" si="3"/>
        <v>443573</v>
      </c>
      <c r="L49" s="156"/>
      <c r="M49" s="173"/>
      <c r="N49" s="173"/>
      <c r="O49" s="190"/>
      <c r="P49" s="13"/>
    </row>
    <row r="50" spans="1:16" ht="15">
      <c r="A50">
        <v>46</v>
      </c>
      <c r="B50" s="66">
        <v>580037661</v>
      </c>
      <c r="C50" s="16" t="s">
        <v>71</v>
      </c>
      <c r="D50" s="16" t="s">
        <v>72</v>
      </c>
      <c r="E50" s="53">
        <v>1483.25</v>
      </c>
      <c r="F50" s="53">
        <v>593</v>
      </c>
      <c r="G50" s="54">
        <f t="shared" si="4"/>
        <v>0.39979774144614866</v>
      </c>
      <c r="H50" s="62">
        <v>1388</v>
      </c>
      <c r="I50" s="63">
        <f t="shared" si="1"/>
        <v>1038.2749999999999</v>
      </c>
      <c r="J50" s="63">
        <f t="shared" si="2"/>
        <v>1110.4</v>
      </c>
      <c r="K50" s="172">
        <f t="shared" si="3"/>
        <v>1038</v>
      </c>
      <c r="L50" s="156"/>
      <c r="M50" s="173"/>
      <c r="N50" s="173"/>
      <c r="O50" s="190"/>
      <c r="P50" s="13"/>
    </row>
    <row r="51" spans="1:16" ht="15.75">
      <c r="A51" s="13">
        <v>47</v>
      </c>
      <c r="B51" s="60">
        <v>580037828</v>
      </c>
      <c r="C51" s="60" t="s">
        <v>623</v>
      </c>
      <c r="D51" s="61" t="s">
        <v>63</v>
      </c>
      <c r="E51" s="53">
        <v>9465</v>
      </c>
      <c r="F51" s="53">
        <v>3924</v>
      </c>
      <c r="G51" s="54">
        <f t="shared" si="4"/>
        <v>0.41458003169572105</v>
      </c>
      <c r="H51" s="62">
        <v>17469</v>
      </c>
      <c r="I51" s="63">
        <f t="shared" si="1"/>
        <v>6625.5</v>
      </c>
      <c r="J51" s="63">
        <f t="shared" si="2"/>
        <v>13975.2</v>
      </c>
      <c r="K51" s="172">
        <f t="shared" si="3"/>
        <v>6626</v>
      </c>
      <c r="L51" s="156"/>
      <c r="M51" s="173"/>
      <c r="N51" s="173"/>
      <c r="O51" s="190"/>
      <c r="P51" s="13"/>
    </row>
    <row r="52" spans="1:16" ht="15.75">
      <c r="A52">
        <v>48</v>
      </c>
      <c r="B52" s="60">
        <v>580038156</v>
      </c>
      <c r="C52" s="61" t="s">
        <v>255</v>
      </c>
      <c r="D52" s="61" t="s">
        <v>60</v>
      </c>
      <c r="E52" s="53">
        <v>465422</v>
      </c>
      <c r="F52" s="53">
        <v>232711</v>
      </c>
      <c r="G52" s="54">
        <f t="shared" si="4"/>
        <v>0.5</v>
      </c>
      <c r="H52" s="62">
        <v>407064</v>
      </c>
      <c r="I52" s="63">
        <f t="shared" si="1"/>
        <v>325795.39999999997</v>
      </c>
      <c r="J52" s="63">
        <f t="shared" si="2"/>
        <v>325651.2</v>
      </c>
      <c r="K52" s="172">
        <f t="shared" si="3"/>
        <v>325651</v>
      </c>
      <c r="L52" s="156"/>
      <c r="M52" s="173"/>
      <c r="N52" s="173"/>
      <c r="O52" s="190"/>
      <c r="P52" s="13"/>
    </row>
    <row r="53" spans="1:16" ht="15.75">
      <c r="A53" s="13">
        <v>49</v>
      </c>
      <c r="B53" s="60">
        <v>580042125</v>
      </c>
      <c r="C53" s="61" t="s">
        <v>561</v>
      </c>
      <c r="D53" s="61" t="s">
        <v>60</v>
      </c>
      <c r="E53" s="53">
        <f>252786+193530</f>
        <v>446316</v>
      </c>
      <c r="F53" s="53">
        <f>126393+96765</f>
        <v>223158</v>
      </c>
      <c r="G53" s="54">
        <f t="shared" si="4"/>
        <v>0.5</v>
      </c>
      <c r="H53" s="62">
        <f>376612+276337</f>
        <v>652949</v>
      </c>
      <c r="I53" s="63">
        <f t="shared" si="1"/>
        <v>312421.19999999995</v>
      </c>
      <c r="J53" s="63">
        <f t="shared" si="2"/>
        <v>522359.2</v>
      </c>
      <c r="K53" s="172">
        <f t="shared" si="3"/>
        <v>312421</v>
      </c>
      <c r="L53" s="156"/>
      <c r="M53" s="173"/>
      <c r="N53" s="173"/>
      <c r="O53" s="190"/>
      <c r="P53" s="13"/>
    </row>
    <row r="54" spans="1:16" ht="15.75">
      <c r="A54">
        <v>50</v>
      </c>
      <c r="B54" s="60">
        <v>580046829</v>
      </c>
      <c r="C54" s="61" t="s">
        <v>325</v>
      </c>
      <c r="D54" s="61" t="s">
        <v>60</v>
      </c>
      <c r="E54" s="53">
        <v>323352.25</v>
      </c>
      <c r="F54" s="53">
        <v>161676</v>
      </c>
      <c r="G54" s="54">
        <f t="shared" si="4"/>
        <v>0.4999996134246785</v>
      </c>
      <c r="H54" s="62">
        <v>383180</v>
      </c>
      <c r="I54" s="63">
        <f t="shared" si="1"/>
        <v>226346.57499999998</v>
      </c>
      <c r="J54" s="63">
        <f t="shared" si="2"/>
        <v>306544</v>
      </c>
      <c r="K54" s="172">
        <f t="shared" si="3"/>
        <v>226347</v>
      </c>
      <c r="L54" s="156"/>
      <c r="M54" s="173"/>
      <c r="N54" s="173"/>
      <c r="O54" s="190"/>
      <c r="P54" s="13"/>
    </row>
    <row r="55" spans="1:16" ht="15.75">
      <c r="A55" s="13">
        <v>51</v>
      </c>
      <c r="B55" s="85">
        <v>580049534</v>
      </c>
      <c r="C55" s="61" t="s">
        <v>326</v>
      </c>
      <c r="D55" s="65" t="s">
        <v>63</v>
      </c>
      <c r="E55" s="53">
        <v>340681.80000000005</v>
      </c>
      <c r="F55" s="53">
        <v>170341</v>
      </c>
      <c r="G55" s="54">
        <f t="shared" si="4"/>
        <v>0.500000293529035</v>
      </c>
      <c r="H55" s="62">
        <v>202414</v>
      </c>
      <c r="I55" s="63">
        <f t="shared" si="1"/>
        <v>238477.26</v>
      </c>
      <c r="J55" s="63">
        <f t="shared" si="2"/>
        <v>161931.2</v>
      </c>
      <c r="K55" s="172">
        <f t="shared" si="3"/>
        <v>0</v>
      </c>
      <c r="L55" s="156"/>
      <c r="M55" s="173"/>
      <c r="N55" s="173"/>
      <c r="O55" s="190"/>
      <c r="P55" s="13"/>
    </row>
    <row r="56" spans="1:16" ht="15.75">
      <c r="A56">
        <v>52</v>
      </c>
      <c r="B56" s="61">
        <v>580052728</v>
      </c>
      <c r="C56" s="61" t="s">
        <v>327</v>
      </c>
      <c r="D56" s="61" t="s">
        <v>68</v>
      </c>
      <c r="E56" s="53">
        <v>992230.8</v>
      </c>
      <c r="F56" s="53">
        <v>396892</v>
      </c>
      <c r="G56" s="54">
        <f t="shared" si="4"/>
        <v>0.3999996774943894</v>
      </c>
      <c r="H56" s="62">
        <v>743660</v>
      </c>
      <c r="I56" s="63">
        <f t="shared" si="1"/>
        <v>694561.5599999999</v>
      </c>
      <c r="J56" s="63">
        <f t="shared" si="2"/>
        <v>594928</v>
      </c>
      <c r="K56" s="172">
        <f t="shared" si="3"/>
        <v>594928</v>
      </c>
      <c r="L56" s="156"/>
      <c r="M56" s="173"/>
      <c r="N56" s="173"/>
      <c r="O56" s="190"/>
      <c r="P56" s="13"/>
    </row>
    <row r="57" spans="1:16" ht="15">
      <c r="A57" s="13">
        <v>53</v>
      </c>
      <c r="B57" s="79">
        <v>580056497</v>
      </c>
      <c r="C57" s="66" t="s">
        <v>559</v>
      </c>
      <c r="D57" s="16" t="s">
        <v>68</v>
      </c>
      <c r="E57" s="53">
        <v>7090</v>
      </c>
      <c r="F57" s="53">
        <v>3545</v>
      </c>
      <c r="G57" s="54">
        <f t="shared" si="4"/>
        <v>0.5</v>
      </c>
      <c r="H57" s="62">
        <v>7642</v>
      </c>
      <c r="I57" s="63">
        <f t="shared" si="1"/>
        <v>4963</v>
      </c>
      <c r="J57" s="63">
        <f t="shared" si="2"/>
        <v>6113.6</v>
      </c>
      <c r="K57" s="172">
        <f t="shared" si="3"/>
        <v>4963</v>
      </c>
      <c r="L57" s="156"/>
      <c r="M57" s="173"/>
      <c r="N57" s="173"/>
      <c r="O57" s="190"/>
      <c r="P57" s="13"/>
    </row>
    <row r="58" spans="1:16" ht="15">
      <c r="A58">
        <v>54</v>
      </c>
      <c r="B58" s="66">
        <v>580059566</v>
      </c>
      <c r="C58" s="16" t="s">
        <v>256</v>
      </c>
      <c r="D58" s="16" t="s">
        <v>72</v>
      </c>
      <c r="E58" s="53">
        <v>83603.25</v>
      </c>
      <c r="F58" s="53">
        <v>41802</v>
      </c>
      <c r="G58" s="54">
        <f t="shared" si="4"/>
        <v>0.5000044854715576</v>
      </c>
      <c r="H58" s="62">
        <v>120278</v>
      </c>
      <c r="I58" s="63">
        <f t="shared" si="1"/>
        <v>58522.274999999994</v>
      </c>
      <c r="J58" s="63">
        <f t="shared" si="2"/>
        <v>96222.40000000001</v>
      </c>
      <c r="K58" s="172">
        <f t="shared" si="3"/>
        <v>58522</v>
      </c>
      <c r="L58" s="156"/>
      <c r="M58" s="173"/>
      <c r="N58" s="173"/>
      <c r="O58" s="190"/>
      <c r="P58" s="13"/>
    </row>
    <row r="59" spans="1:16" s="74" customFormat="1" ht="15">
      <c r="A59" s="13">
        <v>55</v>
      </c>
      <c r="B59" s="66">
        <v>580062206</v>
      </c>
      <c r="C59" s="16" t="s">
        <v>735</v>
      </c>
      <c r="D59" s="16" t="s">
        <v>72</v>
      </c>
      <c r="E59" s="53">
        <v>3610</v>
      </c>
      <c r="F59" s="53">
        <v>1805</v>
      </c>
      <c r="G59" s="54">
        <f t="shared" si="4"/>
        <v>0.5</v>
      </c>
      <c r="H59" s="62">
        <v>3814</v>
      </c>
      <c r="I59" s="63">
        <f t="shared" si="1"/>
        <v>2527</v>
      </c>
      <c r="J59" s="63">
        <f t="shared" si="2"/>
        <v>3051.2000000000003</v>
      </c>
      <c r="K59" s="172">
        <f t="shared" si="3"/>
        <v>2527</v>
      </c>
      <c r="L59" s="156"/>
      <c r="M59" s="173"/>
      <c r="N59" s="173"/>
      <c r="O59" s="190"/>
      <c r="P59" s="13"/>
    </row>
    <row r="60" spans="1:16" ht="15.75">
      <c r="A60">
        <v>56</v>
      </c>
      <c r="B60" s="60">
        <v>580093151</v>
      </c>
      <c r="C60" s="61" t="s">
        <v>429</v>
      </c>
      <c r="D60" s="61" t="s">
        <v>60</v>
      </c>
      <c r="E60" s="53">
        <f>1119031+91106</f>
        <v>1210137</v>
      </c>
      <c r="F60" s="53">
        <f>559515+25679</f>
        <v>585194</v>
      </c>
      <c r="G60" s="54">
        <f t="shared" si="4"/>
        <v>0.48357665289136686</v>
      </c>
      <c r="H60" s="62">
        <f>953099+34222</f>
        <v>987321</v>
      </c>
      <c r="I60" s="63">
        <f t="shared" si="1"/>
        <v>847095.8999999999</v>
      </c>
      <c r="J60" s="63">
        <f t="shared" si="2"/>
        <v>789856.8</v>
      </c>
      <c r="K60" s="172">
        <f t="shared" si="3"/>
        <v>789857</v>
      </c>
      <c r="L60" s="156"/>
      <c r="M60" s="173"/>
      <c r="N60" s="173"/>
      <c r="O60" s="190"/>
      <c r="P60" s="13"/>
    </row>
    <row r="61" spans="1:16" ht="15.75">
      <c r="A61" s="13">
        <v>57</v>
      </c>
      <c r="B61" s="60">
        <v>580095396</v>
      </c>
      <c r="C61" s="61" t="s">
        <v>257</v>
      </c>
      <c r="D61" s="65" t="s">
        <v>63</v>
      </c>
      <c r="E61" s="53">
        <f>351711.75+193530</f>
        <v>545241.75</v>
      </c>
      <c r="F61" s="53">
        <f>175856+96765</f>
        <v>272621</v>
      </c>
      <c r="G61" s="54">
        <f t="shared" si="4"/>
        <v>0.5000002292561052</v>
      </c>
      <c r="H61" s="62">
        <f>381178+303971</f>
        <v>685149</v>
      </c>
      <c r="I61" s="63">
        <f t="shared" si="1"/>
        <v>381669.225</v>
      </c>
      <c r="J61" s="63">
        <f t="shared" si="2"/>
        <v>548119.2000000001</v>
      </c>
      <c r="K61" s="172">
        <f t="shared" si="3"/>
        <v>381669</v>
      </c>
      <c r="L61" s="156"/>
      <c r="M61" s="173"/>
      <c r="N61" s="173"/>
      <c r="O61" s="190"/>
      <c r="P61" s="13"/>
    </row>
    <row r="62" spans="1:16" ht="15.75">
      <c r="A62">
        <v>58</v>
      </c>
      <c r="B62" s="60">
        <v>580096121</v>
      </c>
      <c r="C62" s="61" t="s">
        <v>768</v>
      </c>
      <c r="D62" s="65" t="s">
        <v>63</v>
      </c>
      <c r="E62" s="53">
        <v>12513</v>
      </c>
      <c r="F62" s="53">
        <v>6257</v>
      </c>
      <c r="G62" s="54">
        <f t="shared" si="4"/>
        <v>0.500039958443219</v>
      </c>
      <c r="H62" s="62">
        <v>17483</v>
      </c>
      <c r="I62" s="63">
        <f t="shared" si="1"/>
        <v>8759.099999999999</v>
      </c>
      <c r="J62" s="63">
        <f t="shared" si="2"/>
        <v>13986.400000000001</v>
      </c>
      <c r="K62" s="172">
        <f t="shared" si="3"/>
        <v>8759</v>
      </c>
      <c r="L62" s="156"/>
      <c r="M62" s="173"/>
      <c r="N62" s="173"/>
      <c r="O62" s="190"/>
      <c r="P62" s="13"/>
    </row>
    <row r="63" spans="1:16" ht="15.75">
      <c r="A63" s="13">
        <v>59</v>
      </c>
      <c r="B63" s="61">
        <v>580096675</v>
      </c>
      <c r="C63" s="61" t="s">
        <v>73</v>
      </c>
      <c r="D63" s="61" t="s">
        <v>74</v>
      </c>
      <c r="E63" s="53">
        <v>6441.5</v>
      </c>
      <c r="F63" s="53">
        <v>3221</v>
      </c>
      <c r="G63" s="54">
        <f t="shared" si="4"/>
        <v>0.5000388108359854</v>
      </c>
      <c r="H63" s="62">
        <v>5279</v>
      </c>
      <c r="I63" s="63">
        <f t="shared" si="1"/>
        <v>4509.049999999999</v>
      </c>
      <c r="J63" s="63">
        <f t="shared" si="2"/>
        <v>4223.2</v>
      </c>
      <c r="K63" s="172">
        <f t="shared" si="3"/>
        <v>4223</v>
      </c>
      <c r="L63" s="156"/>
      <c r="M63" s="173"/>
      <c r="N63" s="173"/>
      <c r="O63" s="190"/>
      <c r="P63" s="13"/>
    </row>
    <row r="64" spans="1:16" ht="15.75">
      <c r="A64">
        <v>60</v>
      </c>
      <c r="B64" s="61">
        <v>580100121</v>
      </c>
      <c r="C64" s="61" t="s">
        <v>75</v>
      </c>
      <c r="D64" s="61" t="s">
        <v>74</v>
      </c>
      <c r="E64" s="53">
        <f>127470.75+193530</f>
        <v>321000.75</v>
      </c>
      <c r="F64" s="53">
        <f>63735+96765</f>
        <v>160500</v>
      </c>
      <c r="G64" s="54">
        <f t="shared" si="4"/>
        <v>0.4999988317784304</v>
      </c>
      <c r="H64" s="62">
        <f>133629+276337</f>
        <v>409966</v>
      </c>
      <c r="I64" s="63">
        <f t="shared" si="1"/>
        <v>224700.525</v>
      </c>
      <c r="J64" s="63">
        <f t="shared" si="2"/>
        <v>327972.80000000005</v>
      </c>
      <c r="K64" s="172">
        <f t="shared" si="3"/>
        <v>224701</v>
      </c>
      <c r="L64" s="156"/>
      <c r="M64" s="173"/>
      <c r="N64" s="173"/>
      <c r="O64" s="190"/>
      <c r="P64" s="13"/>
    </row>
    <row r="65" spans="1:16" ht="15.75">
      <c r="A65" s="13">
        <v>61</v>
      </c>
      <c r="B65" s="60">
        <v>580100139</v>
      </c>
      <c r="C65" s="61" t="s">
        <v>498</v>
      </c>
      <c r="D65" s="65" t="s">
        <v>63</v>
      </c>
      <c r="E65" s="53">
        <v>98258.5</v>
      </c>
      <c r="F65" s="53">
        <v>39303</v>
      </c>
      <c r="G65" s="54">
        <f t="shared" si="4"/>
        <v>0.39999592910537</v>
      </c>
      <c r="H65" s="62">
        <v>109799</v>
      </c>
      <c r="I65" s="63">
        <f t="shared" si="1"/>
        <v>68780.95</v>
      </c>
      <c r="J65" s="63">
        <f t="shared" si="2"/>
        <v>87839.20000000001</v>
      </c>
      <c r="K65" s="172">
        <f t="shared" si="3"/>
        <v>68781</v>
      </c>
      <c r="L65" s="156"/>
      <c r="M65" s="173"/>
      <c r="N65" s="173"/>
      <c r="O65" s="190"/>
      <c r="P65" s="13"/>
    </row>
    <row r="66" spans="1:16" ht="15.75">
      <c r="A66">
        <v>62</v>
      </c>
      <c r="B66" s="88">
        <v>580103778</v>
      </c>
      <c r="C66" s="82" t="s">
        <v>258</v>
      </c>
      <c r="D66" s="61" t="s">
        <v>60</v>
      </c>
      <c r="E66" s="53">
        <v>190950</v>
      </c>
      <c r="F66" s="53">
        <v>95475</v>
      </c>
      <c r="G66" s="54">
        <f t="shared" si="4"/>
        <v>0.5</v>
      </c>
      <c r="H66" s="62">
        <v>30043</v>
      </c>
      <c r="I66" s="63">
        <f t="shared" si="1"/>
        <v>133665</v>
      </c>
      <c r="J66" s="63">
        <f t="shared" si="2"/>
        <v>24034.4</v>
      </c>
      <c r="K66" s="172">
        <f t="shared" si="3"/>
        <v>0</v>
      </c>
      <c r="L66" s="156"/>
      <c r="M66" s="173"/>
      <c r="N66" s="173"/>
      <c r="O66" s="190"/>
      <c r="P66" s="13"/>
    </row>
    <row r="67" spans="1:16" ht="15">
      <c r="A67" s="13">
        <v>63</v>
      </c>
      <c r="B67" s="89">
        <v>580106631</v>
      </c>
      <c r="C67" s="90" t="s">
        <v>328</v>
      </c>
      <c r="D67" s="90" t="s">
        <v>72</v>
      </c>
      <c r="E67" s="53">
        <v>5180.75</v>
      </c>
      <c r="F67" s="53">
        <v>2590</v>
      </c>
      <c r="G67" s="54">
        <f t="shared" si="4"/>
        <v>0.4999276166578198</v>
      </c>
      <c r="H67" s="62">
        <v>2808</v>
      </c>
      <c r="I67" s="63">
        <f t="shared" si="1"/>
        <v>3626.5249999999996</v>
      </c>
      <c r="J67" s="63">
        <f t="shared" si="2"/>
        <v>2246.4</v>
      </c>
      <c r="K67" s="172">
        <f t="shared" si="3"/>
        <v>0</v>
      </c>
      <c r="L67" s="156"/>
      <c r="M67" s="173"/>
      <c r="N67" s="173"/>
      <c r="O67" s="190"/>
      <c r="P67" s="13"/>
    </row>
    <row r="68" spans="1:16" ht="15.75">
      <c r="A68">
        <v>64</v>
      </c>
      <c r="B68" s="60">
        <v>580106805</v>
      </c>
      <c r="C68" s="61" t="s">
        <v>76</v>
      </c>
      <c r="D68" s="65" t="s">
        <v>63</v>
      </c>
      <c r="E68" s="53">
        <v>133759.5</v>
      </c>
      <c r="F68" s="53">
        <v>66880</v>
      </c>
      <c r="G68" s="54">
        <f t="shared" si="4"/>
        <v>0.5000018690261252</v>
      </c>
      <c r="H68" s="62">
        <v>143147</v>
      </c>
      <c r="I68" s="63">
        <f t="shared" si="1"/>
        <v>93631.65</v>
      </c>
      <c r="J68" s="63">
        <f t="shared" si="2"/>
        <v>114517.6</v>
      </c>
      <c r="K68" s="172">
        <f t="shared" si="3"/>
        <v>93632</v>
      </c>
      <c r="L68" s="156"/>
      <c r="M68" s="173"/>
      <c r="N68" s="173"/>
      <c r="O68" s="190"/>
      <c r="P68" s="13"/>
    </row>
    <row r="69" spans="1:16" ht="15.75">
      <c r="A69" s="13">
        <v>65</v>
      </c>
      <c r="B69" s="67">
        <v>580109064</v>
      </c>
      <c r="C69" s="67" t="s">
        <v>77</v>
      </c>
      <c r="D69" s="67" t="s">
        <v>74</v>
      </c>
      <c r="E69" s="53">
        <v>6995</v>
      </c>
      <c r="F69" s="53">
        <v>2420</v>
      </c>
      <c r="G69" s="54">
        <f aca="true" t="shared" si="5" ref="G69:G100">F69/E69</f>
        <v>0.3459614010007148</v>
      </c>
      <c r="H69" s="62">
        <v>7127</v>
      </c>
      <c r="I69" s="63">
        <f aca="true" t="shared" si="6" ref="I69:I132">E69*$I$2</f>
        <v>4896.5</v>
      </c>
      <c r="J69" s="63">
        <f aca="true" t="shared" si="7" ref="J69:J132">H69*$J$2</f>
        <v>5701.6</v>
      </c>
      <c r="K69" s="172">
        <f aca="true" t="shared" si="8" ref="K69:K132">ROUND(IF(IF(MIN(I69,J69)&lt;F69,MIN(I69,J69)-F69,MIN(I69,J69))&lt;0,0,IF(MIN(I69,J69)&lt;F69,MIN(I69,J69)-F69,MIN(I69,J69))),0)</f>
        <v>4897</v>
      </c>
      <c r="L69" s="156"/>
      <c r="M69" s="173"/>
      <c r="N69" s="173"/>
      <c r="O69" s="190"/>
      <c r="P69" s="13"/>
    </row>
    <row r="70" spans="1:16" ht="15.75">
      <c r="A70">
        <v>66</v>
      </c>
      <c r="B70" s="61">
        <v>580111052</v>
      </c>
      <c r="C70" s="61" t="s">
        <v>78</v>
      </c>
      <c r="D70" s="61" t="s">
        <v>68</v>
      </c>
      <c r="E70" s="53">
        <v>53819</v>
      </c>
      <c r="F70" s="53">
        <v>26910</v>
      </c>
      <c r="G70" s="54">
        <f t="shared" si="5"/>
        <v>0.5000092903993013</v>
      </c>
      <c r="H70" s="62">
        <v>16843</v>
      </c>
      <c r="I70" s="63">
        <f t="shared" si="6"/>
        <v>37673.299999999996</v>
      </c>
      <c r="J70" s="63">
        <f t="shared" si="7"/>
        <v>13474.400000000001</v>
      </c>
      <c r="K70" s="172">
        <f t="shared" si="8"/>
        <v>0</v>
      </c>
      <c r="L70" s="156"/>
      <c r="M70" s="173"/>
      <c r="N70" s="173"/>
      <c r="O70" s="190"/>
      <c r="P70" s="13"/>
    </row>
    <row r="71" spans="1:16" ht="15.75">
      <c r="A71" s="13">
        <v>67</v>
      </c>
      <c r="B71" s="61">
        <v>580115715</v>
      </c>
      <c r="C71" s="61" t="s">
        <v>259</v>
      </c>
      <c r="D71" s="61" t="s">
        <v>74</v>
      </c>
      <c r="E71" s="53">
        <v>42099.25</v>
      </c>
      <c r="F71" s="53">
        <v>21050</v>
      </c>
      <c r="G71" s="54">
        <f t="shared" si="5"/>
        <v>0.5000089075221055</v>
      </c>
      <c r="H71" s="62">
        <v>45744</v>
      </c>
      <c r="I71" s="63">
        <f t="shared" si="6"/>
        <v>29469.475</v>
      </c>
      <c r="J71" s="63">
        <f t="shared" si="7"/>
        <v>36595.200000000004</v>
      </c>
      <c r="K71" s="172">
        <f t="shared" si="8"/>
        <v>29469</v>
      </c>
      <c r="L71" s="156"/>
      <c r="M71" s="173"/>
      <c r="N71" s="173"/>
      <c r="O71" s="190"/>
      <c r="P71" s="13"/>
    </row>
    <row r="72" spans="1:16" ht="15.75">
      <c r="A72">
        <v>68</v>
      </c>
      <c r="B72" s="60">
        <v>580115814</v>
      </c>
      <c r="C72" s="60" t="s">
        <v>624</v>
      </c>
      <c r="D72" s="61" t="s">
        <v>63</v>
      </c>
      <c r="E72" s="53">
        <v>244682</v>
      </c>
      <c r="F72" s="53">
        <v>122341</v>
      </c>
      <c r="G72" s="54">
        <f t="shared" si="5"/>
        <v>0.5</v>
      </c>
      <c r="H72" s="62">
        <v>231650</v>
      </c>
      <c r="I72" s="63">
        <f t="shared" si="6"/>
        <v>171277.4</v>
      </c>
      <c r="J72" s="63">
        <f t="shared" si="7"/>
        <v>185320</v>
      </c>
      <c r="K72" s="172">
        <f t="shared" si="8"/>
        <v>171277</v>
      </c>
      <c r="L72" s="156"/>
      <c r="M72" s="173"/>
      <c r="N72" s="173"/>
      <c r="O72" s="190"/>
      <c r="P72" s="13"/>
    </row>
    <row r="73" spans="1:16" ht="15.75">
      <c r="A73" s="13">
        <v>69</v>
      </c>
      <c r="B73" s="60">
        <v>580120012</v>
      </c>
      <c r="C73" s="61" t="s">
        <v>79</v>
      </c>
      <c r="D73" s="65" t="s">
        <v>63</v>
      </c>
      <c r="E73" s="53">
        <v>55242.5</v>
      </c>
      <c r="F73" s="53">
        <v>27621</v>
      </c>
      <c r="G73" s="54">
        <f t="shared" si="5"/>
        <v>0.4999954744988007</v>
      </c>
      <c r="H73" s="62">
        <v>65463</v>
      </c>
      <c r="I73" s="63">
        <f t="shared" si="6"/>
        <v>38669.75</v>
      </c>
      <c r="J73" s="63">
        <f t="shared" si="7"/>
        <v>52370.4</v>
      </c>
      <c r="K73" s="172">
        <f t="shared" si="8"/>
        <v>38670</v>
      </c>
      <c r="L73" s="156"/>
      <c r="M73" s="173"/>
      <c r="N73" s="173"/>
      <c r="O73" s="190"/>
      <c r="P73" s="13"/>
    </row>
    <row r="74" spans="1:16" ht="15.75">
      <c r="A74">
        <v>70</v>
      </c>
      <c r="B74" s="60">
        <v>580120418</v>
      </c>
      <c r="C74" s="61" t="s">
        <v>80</v>
      </c>
      <c r="D74" s="61" t="s">
        <v>60</v>
      </c>
      <c r="E74" s="53">
        <v>230670</v>
      </c>
      <c r="F74" s="53">
        <v>115335</v>
      </c>
      <c r="G74" s="54">
        <f t="shared" si="5"/>
        <v>0.5</v>
      </c>
      <c r="H74" s="62">
        <v>244424</v>
      </c>
      <c r="I74" s="63">
        <f t="shared" si="6"/>
        <v>161469</v>
      </c>
      <c r="J74" s="63">
        <f t="shared" si="7"/>
        <v>195539.2</v>
      </c>
      <c r="K74" s="172">
        <f t="shared" si="8"/>
        <v>161469</v>
      </c>
      <c r="L74" s="156"/>
      <c r="M74" s="173"/>
      <c r="N74" s="173"/>
      <c r="O74" s="190"/>
      <c r="P74" s="13"/>
    </row>
    <row r="75" spans="1:16" ht="15.75">
      <c r="A75" s="13">
        <v>71</v>
      </c>
      <c r="B75" s="60">
        <v>580120855</v>
      </c>
      <c r="C75" s="61" t="s">
        <v>81</v>
      </c>
      <c r="D75" s="61" t="s">
        <v>60</v>
      </c>
      <c r="E75" s="53">
        <v>140160.5</v>
      </c>
      <c r="F75" s="53">
        <v>70080</v>
      </c>
      <c r="G75" s="54">
        <f t="shared" si="5"/>
        <v>0.4999982163305639</v>
      </c>
      <c r="H75" s="62">
        <v>140181</v>
      </c>
      <c r="I75" s="63">
        <f t="shared" si="6"/>
        <v>98112.34999999999</v>
      </c>
      <c r="J75" s="63">
        <f t="shared" si="7"/>
        <v>112144.8</v>
      </c>
      <c r="K75" s="172">
        <f t="shared" si="8"/>
        <v>98112</v>
      </c>
      <c r="L75" s="156"/>
      <c r="M75" s="173"/>
      <c r="N75" s="173"/>
      <c r="O75" s="190"/>
      <c r="P75" s="13"/>
    </row>
    <row r="76" spans="1:16" ht="15.75">
      <c r="A76">
        <v>72</v>
      </c>
      <c r="B76" s="60">
        <v>580122570</v>
      </c>
      <c r="C76" s="61" t="s">
        <v>82</v>
      </c>
      <c r="D76" s="65" t="s">
        <v>63</v>
      </c>
      <c r="E76" s="53">
        <v>64420</v>
      </c>
      <c r="F76" s="53">
        <v>32210</v>
      </c>
      <c r="G76" s="54">
        <f t="shared" si="5"/>
        <v>0.5</v>
      </c>
      <c r="H76" s="62">
        <v>97123</v>
      </c>
      <c r="I76" s="63">
        <f t="shared" si="6"/>
        <v>45094</v>
      </c>
      <c r="J76" s="63">
        <f t="shared" si="7"/>
        <v>77698.40000000001</v>
      </c>
      <c r="K76" s="172">
        <f t="shared" si="8"/>
        <v>45094</v>
      </c>
      <c r="L76" s="156"/>
      <c r="M76" s="173"/>
      <c r="N76" s="173"/>
      <c r="O76" s="190"/>
      <c r="P76" s="13"/>
    </row>
    <row r="77" spans="1:16" ht="15.75">
      <c r="A77" s="13">
        <v>73</v>
      </c>
      <c r="B77" s="60">
        <v>580125383</v>
      </c>
      <c r="C77" s="61" t="s">
        <v>499</v>
      </c>
      <c r="D77" s="65" t="s">
        <v>63</v>
      </c>
      <c r="E77" s="53">
        <v>80285.5</v>
      </c>
      <c r="F77" s="53">
        <v>40143</v>
      </c>
      <c r="G77" s="54">
        <f t="shared" si="5"/>
        <v>0.5000031138873147</v>
      </c>
      <c r="H77" s="62">
        <v>94399</v>
      </c>
      <c r="I77" s="63">
        <f t="shared" si="6"/>
        <v>56199.85</v>
      </c>
      <c r="J77" s="63">
        <f t="shared" si="7"/>
        <v>75519.2</v>
      </c>
      <c r="K77" s="172">
        <f t="shared" si="8"/>
        <v>56200</v>
      </c>
      <c r="L77" s="156"/>
      <c r="M77" s="173"/>
      <c r="N77" s="173"/>
      <c r="O77" s="190"/>
      <c r="P77" s="13"/>
    </row>
    <row r="78" spans="1:16" ht="15.75">
      <c r="A78">
        <v>74</v>
      </c>
      <c r="B78" s="85">
        <v>580128262</v>
      </c>
      <c r="C78" s="61" t="s">
        <v>329</v>
      </c>
      <c r="D78" s="65" t="s">
        <v>63</v>
      </c>
      <c r="E78" s="53">
        <v>182428.75</v>
      </c>
      <c r="F78" s="53">
        <v>91214</v>
      </c>
      <c r="G78" s="54">
        <f t="shared" si="5"/>
        <v>0.4999979444029518</v>
      </c>
      <c r="H78" s="62">
        <v>170628</v>
      </c>
      <c r="I78" s="63">
        <f t="shared" si="6"/>
        <v>127700.12499999999</v>
      </c>
      <c r="J78" s="63">
        <f t="shared" si="7"/>
        <v>136502.4</v>
      </c>
      <c r="K78" s="172">
        <f t="shared" si="8"/>
        <v>127700</v>
      </c>
      <c r="L78" s="156"/>
      <c r="M78" s="173"/>
      <c r="N78" s="173"/>
      <c r="O78" s="190"/>
      <c r="P78" s="13"/>
    </row>
    <row r="79" spans="1:16" ht="15.75">
      <c r="A79" s="13">
        <v>75</v>
      </c>
      <c r="B79" s="85">
        <v>580143634</v>
      </c>
      <c r="C79" s="61" t="s">
        <v>588</v>
      </c>
      <c r="D79" s="65" t="s">
        <v>63</v>
      </c>
      <c r="E79" s="53">
        <v>279814</v>
      </c>
      <c r="F79" s="53">
        <v>111926</v>
      </c>
      <c r="G79" s="54">
        <f t="shared" si="5"/>
        <v>0.40000142952103895</v>
      </c>
      <c r="H79" s="62">
        <v>456961</v>
      </c>
      <c r="I79" s="63">
        <f t="shared" si="6"/>
        <v>195869.8</v>
      </c>
      <c r="J79" s="63">
        <f t="shared" si="7"/>
        <v>365568.80000000005</v>
      </c>
      <c r="K79" s="172">
        <f t="shared" si="8"/>
        <v>195870</v>
      </c>
      <c r="L79" s="156"/>
      <c r="M79" s="173"/>
      <c r="N79" s="173"/>
      <c r="O79" s="190"/>
      <c r="P79" s="13"/>
    </row>
    <row r="80" spans="1:16" ht="15.75">
      <c r="A80">
        <v>76</v>
      </c>
      <c r="B80" s="60">
        <v>580145563</v>
      </c>
      <c r="C80" s="61" t="s">
        <v>83</v>
      </c>
      <c r="D80" s="65" t="s">
        <v>63</v>
      </c>
      <c r="E80" s="53">
        <v>9260</v>
      </c>
      <c r="F80" s="53">
        <v>4630</v>
      </c>
      <c r="G80" s="54">
        <f t="shared" si="5"/>
        <v>0.5</v>
      </c>
      <c r="H80" s="62">
        <v>11661</v>
      </c>
      <c r="I80" s="63">
        <f t="shared" si="6"/>
        <v>6482</v>
      </c>
      <c r="J80" s="63">
        <f t="shared" si="7"/>
        <v>9328.800000000001</v>
      </c>
      <c r="K80" s="172">
        <f t="shared" si="8"/>
        <v>6482</v>
      </c>
      <c r="L80" s="156"/>
      <c r="M80" s="173"/>
      <c r="N80" s="173"/>
      <c r="O80" s="190"/>
      <c r="P80" s="13"/>
    </row>
    <row r="81" spans="1:16" ht="15.75">
      <c r="A81" s="13">
        <v>77</v>
      </c>
      <c r="B81" s="60">
        <v>580156511</v>
      </c>
      <c r="C81" s="60" t="s">
        <v>625</v>
      </c>
      <c r="D81" s="61" t="s">
        <v>63</v>
      </c>
      <c r="E81" s="53">
        <v>38449</v>
      </c>
      <c r="F81" s="53">
        <v>19225</v>
      </c>
      <c r="G81" s="54">
        <f t="shared" si="5"/>
        <v>0.500013004239382</v>
      </c>
      <c r="H81" s="62">
        <v>43991</v>
      </c>
      <c r="I81" s="63">
        <f t="shared" si="6"/>
        <v>26914.3</v>
      </c>
      <c r="J81" s="63">
        <f t="shared" si="7"/>
        <v>35192.8</v>
      </c>
      <c r="K81" s="172">
        <f t="shared" si="8"/>
        <v>26914</v>
      </c>
      <c r="L81" s="156"/>
      <c r="M81" s="173"/>
      <c r="N81" s="173"/>
      <c r="O81" s="190"/>
      <c r="P81" s="13"/>
    </row>
    <row r="82" spans="1:16" ht="15">
      <c r="A82">
        <v>78</v>
      </c>
      <c r="B82" s="65">
        <v>580156552</v>
      </c>
      <c r="C82" s="65" t="s">
        <v>84</v>
      </c>
      <c r="D82" s="65" t="s">
        <v>68</v>
      </c>
      <c r="E82" s="53">
        <v>6855.25</v>
      </c>
      <c r="F82" s="53">
        <v>3428</v>
      </c>
      <c r="G82" s="54">
        <f t="shared" si="5"/>
        <v>0.5000547026001969</v>
      </c>
      <c r="H82" s="62">
        <v>4505</v>
      </c>
      <c r="I82" s="63">
        <f t="shared" si="6"/>
        <v>4798.674999999999</v>
      </c>
      <c r="J82" s="63">
        <f t="shared" si="7"/>
        <v>3604</v>
      </c>
      <c r="K82" s="172">
        <f t="shared" si="8"/>
        <v>3604</v>
      </c>
      <c r="L82" s="156"/>
      <c r="M82" s="173"/>
      <c r="N82" s="173"/>
      <c r="O82" s="190"/>
      <c r="P82" s="13"/>
    </row>
    <row r="83" spans="1:16" ht="15">
      <c r="A83" s="13">
        <v>79</v>
      </c>
      <c r="B83" s="66">
        <v>580159051</v>
      </c>
      <c r="C83" s="16" t="s">
        <v>763</v>
      </c>
      <c r="D83" s="16" t="s">
        <v>72</v>
      </c>
      <c r="E83" s="53">
        <v>2610.75</v>
      </c>
      <c r="F83" s="53">
        <v>1305</v>
      </c>
      <c r="G83" s="54">
        <f t="shared" si="5"/>
        <v>0.4998563631140477</v>
      </c>
      <c r="H83" s="62">
        <v>2040</v>
      </c>
      <c r="I83" s="63">
        <f t="shared" si="6"/>
        <v>1827.5249999999999</v>
      </c>
      <c r="J83" s="63">
        <f t="shared" si="7"/>
        <v>1632</v>
      </c>
      <c r="K83" s="172">
        <f t="shared" si="8"/>
        <v>1632</v>
      </c>
      <c r="L83" s="156"/>
      <c r="M83" s="173"/>
      <c r="N83" s="173"/>
      <c r="O83" s="190"/>
      <c r="P83" s="13"/>
    </row>
    <row r="84" spans="1:16" ht="15.75">
      <c r="A84">
        <v>80</v>
      </c>
      <c r="B84" s="60">
        <v>580160133</v>
      </c>
      <c r="C84" s="61" t="s">
        <v>85</v>
      </c>
      <c r="D84" s="61" t="s">
        <v>60</v>
      </c>
      <c r="E84" s="53">
        <v>379754.5</v>
      </c>
      <c r="F84" s="53">
        <v>189877</v>
      </c>
      <c r="G84" s="54">
        <f t="shared" si="5"/>
        <v>0.49999934167995375</v>
      </c>
      <c r="H84" s="62">
        <v>395209</v>
      </c>
      <c r="I84" s="63">
        <f t="shared" si="6"/>
        <v>265828.14999999997</v>
      </c>
      <c r="J84" s="63">
        <f t="shared" si="7"/>
        <v>316167.2</v>
      </c>
      <c r="K84" s="172">
        <f t="shared" si="8"/>
        <v>265828</v>
      </c>
      <c r="L84" s="156"/>
      <c r="M84" s="173"/>
      <c r="N84" s="173"/>
      <c r="O84" s="190"/>
      <c r="P84" s="13"/>
    </row>
    <row r="85" spans="1:16" ht="15.75">
      <c r="A85" s="13">
        <v>81</v>
      </c>
      <c r="B85" s="60">
        <v>580160513</v>
      </c>
      <c r="C85" s="90" t="s">
        <v>500</v>
      </c>
      <c r="D85" s="90" t="s">
        <v>72</v>
      </c>
      <c r="E85" s="53">
        <v>942.5</v>
      </c>
      <c r="F85" s="53">
        <v>471</v>
      </c>
      <c r="G85" s="54">
        <f t="shared" si="5"/>
        <v>0.4997347480106101</v>
      </c>
      <c r="H85" s="77" t="e">
        <v>#N/A</v>
      </c>
      <c r="I85" s="63">
        <f t="shared" si="6"/>
        <v>659.75</v>
      </c>
      <c r="J85" s="63" t="e">
        <f t="shared" si="7"/>
        <v>#N/A</v>
      </c>
      <c r="K85" s="172" t="e">
        <f t="shared" si="8"/>
        <v>#N/A</v>
      </c>
      <c r="L85" s="156"/>
      <c r="M85" s="173"/>
      <c r="N85" s="173"/>
      <c r="O85" s="190"/>
      <c r="P85" s="13"/>
    </row>
    <row r="86" spans="1:16" ht="15.75">
      <c r="A86">
        <v>82</v>
      </c>
      <c r="B86" s="61">
        <v>580161032</v>
      </c>
      <c r="C86" s="61" t="s">
        <v>330</v>
      </c>
      <c r="D86" s="61" t="s">
        <v>74</v>
      </c>
      <c r="E86" s="53">
        <v>214499.25</v>
      </c>
      <c r="F86" s="53">
        <v>107250</v>
      </c>
      <c r="G86" s="54">
        <f t="shared" si="5"/>
        <v>0.500001748257861</v>
      </c>
      <c r="H86" s="62">
        <v>196164</v>
      </c>
      <c r="I86" s="63">
        <f t="shared" si="6"/>
        <v>150149.47499999998</v>
      </c>
      <c r="J86" s="63">
        <f t="shared" si="7"/>
        <v>156931.2</v>
      </c>
      <c r="K86" s="172">
        <f t="shared" si="8"/>
        <v>150149</v>
      </c>
      <c r="L86" s="156"/>
      <c r="M86" s="173"/>
      <c r="N86" s="173"/>
      <c r="O86" s="190"/>
      <c r="P86" s="13"/>
    </row>
    <row r="87" spans="1:16" ht="15">
      <c r="A87" s="13">
        <v>83</v>
      </c>
      <c r="B87" s="79">
        <v>580164499</v>
      </c>
      <c r="C87" s="16" t="s">
        <v>430</v>
      </c>
      <c r="D87" s="16" t="s">
        <v>72</v>
      </c>
      <c r="E87" s="53">
        <v>19085</v>
      </c>
      <c r="F87" s="53">
        <v>7634</v>
      </c>
      <c r="G87" s="54">
        <f t="shared" si="5"/>
        <v>0.4</v>
      </c>
      <c r="H87" s="62">
        <v>21220</v>
      </c>
      <c r="I87" s="63">
        <f t="shared" si="6"/>
        <v>13359.5</v>
      </c>
      <c r="J87" s="63">
        <f t="shared" si="7"/>
        <v>16976</v>
      </c>
      <c r="K87" s="172">
        <f t="shared" si="8"/>
        <v>13360</v>
      </c>
      <c r="L87" s="156"/>
      <c r="M87" s="173"/>
      <c r="N87" s="173"/>
      <c r="O87" s="190"/>
      <c r="P87" s="13"/>
    </row>
    <row r="88" spans="1:16" ht="15.75">
      <c r="A88">
        <v>84</v>
      </c>
      <c r="B88" s="60">
        <v>580167831</v>
      </c>
      <c r="C88" s="90" t="s">
        <v>501</v>
      </c>
      <c r="D88" s="90" t="s">
        <v>72</v>
      </c>
      <c r="E88" s="53">
        <v>1483.25</v>
      </c>
      <c r="F88" s="53">
        <v>742</v>
      </c>
      <c r="G88" s="54">
        <f t="shared" si="5"/>
        <v>0.5002528231923141</v>
      </c>
      <c r="H88" s="62">
        <v>1388</v>
      </c>
      <c r="I88" s="63">
        <f t="shared" si="6"/>
        <v>1038.2749999999999</v>
      </c>
      <c r="J88" s="63">
        <f t="shared" si="7"/>
        <v>1110.4</v>
      </c>
      <c r="K88" s="172">
        <f t="shared" si="8"/>
        <v>1038</v>
      </c>
      <c r="L88" s="156"/>
      <c r="M88" s="173"/>
      <c r="N88" s="173"/>
      <c r="O88" s="190"/>
      <c r="P88" s="13"/>
    </row>
    <row r="89" spans="1:16" ht="15.75">
      <c r="A89" s="13">
        <v>85</v>
      </c>
      <c r="B89" s="60">
        <v>580170074</v>
      </c>
      <c r="C89" s="61" t="s">
        <v>562</v>
      </c>
      <c r="D89" s="65" t="s">
        <v>63</v>
      </c>
      <c r="E89" s="53">
        <v>22327.25</v>
      </c>
      <c r="F89" s="53">
        <v>11164</v>
      </c>
      <c r="G89" s="54">
        <f t="shared" si="5"/>
        <v>0.5000167956197024</v>
      </c>
      <c r="H89" s="62">
        <v>21456</v>
      </c>
      <c r="I89" s="63">
        <f t="shared" si="6"/>
        <v>15629.074999999999</v>
      </c>
      <c r="J89" s="63">
        <f t="shared" si="7"/>
        <v>17164.8</v>
      </c>
      <c r="K89" s="172">
        <f t="shared" si="8"/>
        <v>15629</v>
      </c>
      <c r="L89" s="156"/>
      <c r="M89" s="173"/>
      <c r="N89" s="173"/>
      <c r="O89" s="190"/>
      <c r="P89" s="13"/>
    </row>
    <row r="90" spans="1:16" ht="15.75">
      <c r="A90">
        <v>86</v>
      </c>
      <c r="B90" s="60">
        <v>580170108</v>
      </c>
      <c r="C90" s="90" t="s">
        <v>502</v>
      </c>
      <c r="D90" s="90" t="s">
        <v>72</v>
      </c>
      <c r="E90" s="53">
        <v>23517.4</v>
      </c>
      <c r="F90" s="53">
        <v>11759</v>
      </c>
      <c r="G90" s="54">
        <f t="shared" si="5"/>
        <v>0.5000127565121995</v>
      </c>
      <c r="H90" s="77" t="e">
        <v>#N/A</v>
      </c>
      <c r="I90" s="63">
        <f t="shared" si="6"/>
        <v>16462.18</v>
      </c>
      <c r="J90" s="63" t="e">
        <f t="shared" si="7"/>
        <v>#N/A</v>
      </c>
      <c r="K90" s="172" t="e">
        <f t="shared" si="8"/>
        <v>#N/A</v>
      </c>
      <c r="L90" s="156"/>
      <c r="M90" s="173"/>
      <c r="N90" s="173"/>
      <c r="O90" s="190"/>
      <c r="P90" s="13"/>
    </row>
    <row r="91" spans="1:16" ht="15.75">
      <c r="A91" s="13">
        <v>87</v>
      </c>
      <c r="B91" s="60">
        <v>580171064</v>
      </c>
      <c r="C91" s="61" t="s">
        <v>589</v>
      </c>
      <c r="D91" s="61" t="s">
        <v>60</v>
      </c>
      <c r="E91" s="53">
        <v>50823</v>
      </c>
      <c r="F91" s="53">
        <v>25412</v>
      </c>
      <c r="G91" s="54">
        <f t="shared" si="5"/>
        <v>0.5000098380654429</v>
      </c>
      <c r="H91" s="62">
        <v>55470</v>
      </c>
      <c r="I91" s="63">
        <f t="shared" si="6"/>
        <v>35576.1</v>
      </c>
      <c r="J91" s="63">
        <f t="shared" si="7"/>
        <v>44376</v>
      </c>
      <c r="K91" s="172">
        <f t="shared" si="8"/>
        <v>35576</v>
      </c>
      <c r="L91" s="156"/>
      <c r="M91" s="173"/>
      <c r="N91" s="173"/>
      <c r="O91" s="190"/>
      <c r="P91" s="13"/>
    </row>
    <row r="92" spans="1:16" ht="15.75">
      <c r="A92">
        <v>88</v>
      </c>
      <c r="B92" s="60">
        <v>580171353</v>
      </c>
      <c r="C92" s="61" t="s">
        <v>86</v>
      </c>
      <c r="D92" s="65" t="s">
        <v>63</v>
      </c>
      <c r="E92" s="53">
        <v>96875.25</v>
      </c>
      <c r="F92" s="53">
        <v>48438</v>
      </c>
      <c r="G92" s="54">
        <f t="shared" si="5"/>
        <v>0.5000038709577523</v>
      </c>
      <c r="H92" s="62">
        <v>142431</v>
      </c>
      <c r="I92" s="63">
        <f t="shared" si="6"/>
        <v>67812.675</v>
      </c>
      <c r="J92" s="63">
        <f t="shared" si="7"/>
        <v>113944.8</v>
      </c>
      <c r="K92" s="172">
        <f t="shared" si="8"/>
        <v>67813</v>
      </c>
      <c r="L92" s="156"/>
      <c r="M92" s="173"/>
      <c r="N92" s="173"/>
      <c r="O92" s="190"/>
      <c r="P92" s="13"/>
    </row>
    <row r="93" spans="1:16" ht="15.75">
      <c r="A93" s="13">
        <v>89</v>
      </c>
      <c r="B93" s="60">
        <v>580173425</v>
      </c>
      <c r="C93" s="61" t="s">
        <v>260</v>
      </c>
      <c r="D93" s="61" t="s">
        <v>60</v>
      </c>
      <c r="E93" s="53">
        <v>87788.25</v>
      </c>
      <c r="F93" s="53">
        <v>43894</v>
      </c>
      <c r="G93" s="54">
        <f t="shared" si="5"/>
        <v>0.4999985761192415</v>
      </c>
      <c r="H93" s="62">
        <v>69933</v>
      </c>
      <c r="I93" s="63">
        <f t="shared" si="6"/>
        <v>61451.774999999994</v>
      </c>
      <c r="J93" s="63">
        <f t="shared" si="7"/>
        <v>55946.4</v>
      </c>
      <c r="K93" s="172">
        <f t="shared" si="8"/>
        <v>55946</v>
      </c>
      <c r="L93" s="156"/>
      <c r="M93" s="173"/>
      <c r="N93" s="173"/>
      <c r="O93" s="190"/>
      <c r="P93" s="13"/>
    </row>
    <row r="94" spans="1:16" ht="15">
      <c r="A94">
        <v>90</v>
      </c>
      <c r="B94" s="66">
        <v>580173441</v>
      </c>
      <c r="C94" s="16" t="s">
        <v>87</v>
      </c>
      <c r="D94" s="16" t="s">
        <v>72</v>
      </c>
      <c r="E94" s="53">
        <v>2338.5</v>
      </c>
      <c r="F94" s="53">
        <v>1169</v>
      </c>
      <c r="G94" s="54">
        <f t="shared" si="5"/>
        <v>0.49989309386358777</v>
      </c>
      <c r="H94" s="62">
        <v>1400</v>
      </c>
      <c r="I94" s="63">
        <f t="shared" si="6"/>
        <v>1636.9499999999998</v>
      </c>
      <c r="J94" s="63">
        <f t="shared" si="7"/>
        <v>1120</v>
      </c>
      <c r="K94" s="172">
        <f t="shared" si="8"/>
        <v>0</v>
      </c>
      <c r="L94" s="156"/>
      <c r="M94" s="173"/>
      <c r="N94" s="173"/>
      <c r="O94" s="190"/>
      <c r="P94" s="13"/>
    </row>
    <row r="95" spans="1:16" ht="15.75">
      <c r="A95" s="13">
        <v>91</v>
      </c>
      <c r="B95" s="60">
        <v>580174738</v>
      </c>
      <c r="C95" s="61" t="s">
        <v>88</v>
      </c>
      <c r="D95" s="65" t="s">
        <v>63</v>
      </c>
      <c r="E95" s="53">
        <v>33019.25</v>
      </c>
      <c r="F95" s="53">
        <v>16510</v>
      </c>
      <c r="G95" s="54">
        <f t="shared" si="5"/>
        <v>0.5000113570114403</v>
      </c>
      <c r="H95" s="62">
        <v>32482</v>
      </c>
      <c r="I95" s="63">
        <f t="shared" si="6"/>
        <v>23113.475</v>
      </c>
      <c r="J95" s="63">
        <f t="shared" si="7"/>
        <v>25985.600000000002</v>
      </c>
      <c r="K95" s="172">
        <f t="shared" si="8"/>
        <v>23113</v>
      </c>
      <c r="L95" s="156"/>
      <c r="M95" s="173"/>
      <c r="N95" s="173"/>
      <c r="O95" s="190"/>
      <c r="P95" s="13"/>
    </row>
    <row r="96" spans="1:16" ht="15">
      <c r="A96">
        <v>92</v>
      </c>
      <c r="B96" s="89">
        <v>580179273</v>
      </c>
      <c r="C96" s="90" t="s">
        <v>331</v>
      </c>
      <c r="D96" s="90" t="s">
        <v>72</v>
      </c>
      <c r="E96" s="53">
        <v>2338.5</v>
      </c>
      <c r="F96" s="53">
        <v>1169</v>
      </c>
      <c r="G96" s="54">
        <f t="shared" si="5"/>
        <v>0.49989309386358777</v>
      </c>
      <c r="H96" s="62">
        <v>2431</v>
      </c>
      <c r="I96" s="63">
        <f t="shared" si="6"/>
        <v>1636.9499999999998</v>
      </c>
      <c r="J96" s="63">
        <f t="shared" si="7"/>
        <v>1944.8000000000002</v>
      </c>
      <c r="K96" s="172">
        <f t="shared" si="8"/>
        <v>1637</v>
      </c>
      <c r="L96" s="156"/>
      <c r="M96" s="173"/>
      <c r="N96" s="173"/>
      <c r="O96" s="190"/>
      <c r="P96" s="13"/>
    </row>
    <row r="97" spans="1:16" ht="15.75">
      <c r="A97" s="13">
        <v>93</v>
      </c>
      <c r="B97" s="61">
        <v>580180438</v>
      </c>
      <c r="C97" s="61" t="s">
        <v>431</v>
      </c>
      <c r="D97" s="61" t="s">
        <v>68</v>
      </c>
      <c r="E97" s="53">
        <v>44993.5</v>
      </c>
      <c r="F97" s="53">
        <v>22497</v>
      </c>
      <c r="G97" s="54">
        <f t="shared" si="5"/>
        <v>0.5000055563581406</v>
      </c>
      <c r="H97" s="62">
        <v>41242</v>
      </c>
      <c r="I97" s="63">
        <f t="shared" si="6"/>
        <v>31495.449999999997</v>
      </c>
      <c r="J97" s="63">
        <f t="shared" si="7"/>
        <v>32993.6</v>
      </c>
      <c r="K97" s="172">
        <f t="shared" si="8"/>
        <v>31495</v>
      </c>
      <c r="L97" s="156"/>
      <c r="M97" s="173"/>
      <c r="N97" s="173"/>
      <c r="O97" s="190"/>
      <c r="P97" s="13"/>
    </row>
    <row r="98" spans="1:16" ht="15.75">
      <c r="A98">
        <v>94</v>
      </c>
      <c r="B98" s="60">
        <v>580181659</v>
      </c>
      <c r="C98" s="61" t="s">
        <v>261</v>
      </c>
      <c r="D98" s="61" t="s">
        <v>60</v>
      </c>
      <c r="E98" s="53">
        <v>1268096.25</v>
      </c>
      <c r="F98" s="53">
        <v>634048</v>
      </c>
      <c r="G98" s="54">
        <f t="shared" si="5"/>
        <v>0.4999999014270407</v>
      </c>
      <c r="H98" s="62">
        <v>1341910</v>
      </c>
      <c r="I98" s="63">
        <f t="shared" si="6"/>
        <v>887667.375</v>
      </c>
      <c r="J98" s="63">
        <f t="shared" si="7"/>
        <v>1073528</v>
      </c>
      <c r="K98" s="172">
        <f t="shared" si="8"/>
        <v>887667</v>
      </c>
      <c r="L98" s="156"/>
      <c r="M98" s="173"/>
      <c r="N98" s="173"/>
      <c r="O98" s="190"/>
      <c r="P98" s="13"/>
    </row>
    <row r="99" spans="1:16" ht="15">
      <c r="A99" s="13">
        <v>95</v>
      </c>
      <c r="B99" s="89">
        <v>580183119</v>
      </c>
      <c r="C99" s="90" t="s">
        <v>332</v>
      </c>
      <c r="D99" s="90" t="s">
        <v>72</v>
      </c>
      <c r="E99" s="53">
        <v>6907</v>
      </c>
      <c r="F99" s="53">
        <v>3454</v>
      </c>
      <c r="G99" s="54">
        <f t="shared" si="5"/>
        <v>0.5000723903286521</v>
      </c>
      <c r="H99" s="62">
        <v>5446</v>
      </c>
      <c r="I99" s="63">
        <f t="shared" si="6"/>
        <v>4834.9</v>
      </c>
      <c r="J99" s="63">
        <f t="shared" si="7"/>
        <v>4356.8</v>
      </c>
      <c r="K99" s="172">
        <f t="shared" si="8"/>
        <v>4357</v>
      </c>
      <c r="L99" s="156"/>
      <c r="M99" s="173"/>
      <c r="N99" s="173"/>
      <c r="O99" s="190"/>
      <c r="P99" s="13"/>
    </row>
    <row r="100" spans="1:16" ht="15.75">
      <c r="A100">
        <v>96</v>
      </c>
      <c r="B100" s="85">
        <v>580184828</v>
      </c>
      <c r="C100" s="61" t="s">
        <v>262</v>
      </c>
      <c r="D100" s="65" t="s">
        <v>63</v>
      </c>
      <c r="E100" s="53">
        <v>123496.75</v>
      </c>
      <c r="F100" s="53">
        <v>61748</v>
      </c>
      <c r="G100" s="54">
        <f t="shared" si="5"/>
        <v>0.49999696348284467</v>
      </c>
      <c r="H100" s="62">
        <v>198796</v>
      </c>
      <c r="I100" s="63">
        <f t="shared" si="6"/>
        <v>86447.72499999999</v>
      </c>
      <c r="J100" s="63">
        <f t="shared" si="7"/>
        <v>159036.80000000002</v>
      </c>
      <c r="K100" s="172">
        <f t="shared" si="8"/>
        <v>86448</v>
      </c>
      <c r="L100" s="156"/>
      <c r="M100" s="173"/>
      <c r="N100" s="173"/>
      <c r="O100" s="190"/>
      <c r="P100" s="13"/>
    </row>
    <row r="101" spans="1:16" ht="15.75">
      <c r="A101" s="13">
        <v>97</v>
      </c>
      <c r="B101" s="60">
        <v>580188480</v>
      </c>
      <c r="C101" s="61" t="s">
        <v>89</v>
      </c>
      <c r="D101" s="61" t="s">
        <v>60</v>
      </c>
      <c r="E101" s="53">
        <f>271298.75+193530</f>
        <v>464828.75</v>
      </c>
      <c r="F101" s="53">
        <f>135649+96765</f>
        <v>232414</v>
      </c>
      <c r="G101" s="54">
        <f aca="true" t="shared" si="9" ref="G101:G132">F101/E101</f>
        <v>0.499999193251278</v>
      </c>
      <c r="H101" s="62">
        <f>284408+276337</f>
        <v>560745</v>
      </c>
      <c r="I101" s="63">
        <f t="shared" si="6"/>
        <v>325380.125</v>
      </c>
      <c r="J101" s="63">
        <f t="shared" si="7"/>
        <v>448596</v>
      </c>
      <c r="K101" s="172">
        <f t="shared" si="8"/>
        <v>325380</v>
      </c>
      <c r="L101" s="156"/>
      <c r="M101" s="173"/>
      <c r="N101" s="173"/>
      <c r="O101" s="190"/>
      <c r="P101" s="13"/>
    </row>
    <row r="102" spans="1:16" ht="15.75">
      <c r="A102">
        <v>98</v>
      </c>
      <c r="B102" s="60">
        <v>580190775</v>
      </c>
      <c r="C102" s="61" t="s">
        <v>90</v>
      </c>
      <c r="D102" s="61" t="s">
        <v>60</v>
      </c>
      <c r="E102" s="53">
        <v>106065.5</v>
      </c>
      <c r="F102" s="53">
        <v>53033</v>
      </c>
      <c r="G102" s="54">
        <f t="shared" si="9"/>
        <v>0.5000023570340969</v>
      </c>
      <c r="H102" s="62">
        <v>142099</v>
      </c>
      <c r="I102" s="63">
        <f t="shared" si="6"/>
        <v>74245.84999999999</v>
      </c>
      <c r="J102" s="63">
        <f t="shared" si="7"/>
        <v>113679.20000000001</v>
      </c>
      <c r="K102" s="172">
        <f t="shared" si="8"/>
        <v>74246</v>
      </c>
      <c r="L102" s="156"/>
      <c r="M102" s="173"/>
      <c r="N102" s="173"/>
      <c r="O102" s="190"/>
      <c r="P102" s="13"/>
    </row>
    <row r="103" spans="1:16" ht="15.75">
      <c r="A103" s="13">
        <v>99</v>
      </c>
      <c r="B103" s="60">
        <v>580192508</v>
      </c>
      <c r="C103" s="61" t="s">
        <v>91</v>
      </c>
      <c r="D103" s="65" t="s">
        <v>63</v>
      </c>
      <c r="E103" s="53">
        <v>220183.25</v>
      </c>
      <c r="F103" s="53">
        <v>110092</v>
      </c>
      <c r="G103" s="54">
        <f t="shared" si="9"/>
        <v>0.5000017031268273</v>
      </c>
      <c r="H103" s="62">
        <v>221338</v>
      </c>
      <c r="I103" s="63">
        <f t="shared" si="6"/>
        <v>154128.275</v>
      </c>
      <c r="J103" s="63">
        <f t="shared" si="7"/>
        <v>177070.40000000002</v>
      </c>
      <c r="K103" s="172">
        <f t="shared" si="8"/>
        <v>154128</v>
      </c>
      <c r="L103" s="156"/>
      <c r="M103" s="173"/>
      <c r="N103" s="173"/>
      <c r="O103" s="190"/>
      <c r="P103" s="13"/>
    </row>
    <row r="104" spans="1:16" ht="15.75">
      <c r="A104">
        <v>100</v>
      </c>
      <c r="B104" s="60">
        <v>580193563</v>
      </c>
      <c r="C104" s="61" t="s">
        <v>503</v>
      </c>
      <c r="D104" s="65" t="s">
        <v>63</v>
      </c>
      <c r="E104" s="53">
        <v>133612</v>
      </c>
      <c r="F104" s="53">
        <v>66806</v>
      </c>
      <c r="G104" s="54">
        <f t="shared" si="9"/>
        <v>0.5</v>
      </c>
      <c r="H104" s="62">
        <v>227115</v>
      </c>
      <c r="I104" s="63">
        <f t="shared" si="6"/>
        <v>93528.4</v>
      </c>
      <c r="J104" s="63">
        <f t="shared" si="7"/>
        <v>181692</v>
      </c>
      <c r="K104" s="172">
        <f t="shared" si="8"/>
        <v>93528</v>
      </c>
      <c r="L104" s="156"/>
      <c r="M104" s="173"/>
      <c r="N104" s="173"/>
      <c r="O104" s="190"/>
      <c r="P104" s="13"/>
    </row>
    <row r="105" spans="1:16" ht="15.75">
      <c r="A105" s="13">
        <v>101</v>
      </c>
      <c r="B105" s="60">
        <v>580195675</v>
      </c>
      <c r="C105" s="61" t="s">
        <v>92</v>
      </c>
      <c r="D105" s="61" t="s">
        <v>60</v>
      </c>
      <c r="E105" s="53">
        <v>371280</v>
      </c>
      <c r="F105" s="53">
        <v>185640</v>
      </c>
      <c r="G105" s="54">
        <f t="shared" si="9"/>
        <v>0.5</v>
      </c>
      <c r="H105" s="62">
        <v>313689</v>
      </c>
      <c r="I105" s="63">
        <f t="shared" si="6"/>
        <v>259895.99999999997</v>
      </c>
      <c r="J105" s="63">
        <f t="shared" si="7"/>
        <v>250951.2</v>
      </c>
      <c r="K105" s="172">
        <f t="shared" si="8"/>
        <v>250951</v>
      </c>
      <c r="L105" s="156"/>
      <c r="M105" s="173"/>
      <c r="N105" s="173"/>
      <c r="O105" s="190"/>
      <c r="P105" s="13"/>
    </row>
    <row r="106" spans="1:16" ht="15">
      <c r="A106">
        <v>102</v>
      </c>
      <c r="B106" s="66">
        <v>580195808</v>
      </c>
      <c r="C106" s="16" t="s">
        <v>686</v>
      </c>
      <c r="D106" s="16" t="s">
        <v>72</v>
      </c>
      <c r="E106" s="53">
        <v>13991.25</v>
      </c>
      <c r="F106" s="53">
        <v>6996</v>
      </c>
      <c r="G106" s="54">
        <f t="shared" si="9"/>
        <v>0.5000268024658269</v>
      </c>
      <c r="H106" s="62">
        <v>14289</v>
      </c>
      <c r="I106" s="63">
        <f t="shared" si="6"/>
        <v>9793.875</v>
      </c>
      <c r="J106" s="63">
        <f t="shared" si="7"/>
        <v>11431.2</v>
      </c>
      <c r="K106" s="172">
        <f t="shared" si="8"/>
        <v>9794</v>
      </c>
      <c r="L106" s="156"/>
      <c r="M106" s="173"/>
      <c r="N106" s="173"/>
      <c r="O106" s="190"/>
      <c r="P106" s="13"/>
    </row>
    <row r="107" spans="1:16" ht="15">
      <c r="A107" s="13">
        <v>103</v>
      </c>
      <c r="B107" s="16">
        <v>580197150</v>
      </c>
      <c r="C107" s="16" t="s">
        <v>93</v>
      </c>
      <c r="D107" s="16" t="s">
        <v>94</v>
      </c>
      <c r="E107" s="53">
        <v>13568.75</v>
      </c>
      <c r="F107" s="53">
        <v>6784</v>
      </c>
      <c r="G107" s="54">
        <f t="shared" si="9"/>
        <v>0.49997236296637493</v>
      </c>
      <c r="H107" s="62">
        <v>56510</v>
      </c>
      <c r="I107" s="63">
        <f t="shared" si="6"/>
        <v>9498.125</v>
      </c>
      <c r="J107" s="63">
        <f t="shared" si="7"/>
        <v>45208</v>
      </c>
      <c r="K107" s="172">
        <f t="shared" si="8"/>
        <v>9498</v>
      </c>
      <c r="L107" s="156"/>
      <c r="M107" s="173"/>
      <c r="N107" s="173"/>
      <c r="O107" s="190"/>
      <c r="P107" s="13"/>
    </row>
    <row r="108" spans="1:16" ht="15.75">
      <c r="A108">
        <v>104</v>
      </c>
      <c r="B108" s="85">
        <v>580197317</v>
      </c>
      <c r="C108" s="61" t="s">
        <v>590</v>
      </c>
      <c r="D108" s="65" t="s">
        <v>63</v>
      </c>
      <c r="E108" s="53">
        <v>365839.75</v>
      </c>
      <c r="F108" s="53">
        <v>182920</v>
      </c>
      <c r="G108" s="54">
        <f t="shared" si="9"/>
        <v>0.5000003416796562</v>
      </c>
      <c r="H108" s="62">
        <v>279954</v>
      </c>
      <c r="I108" s="63">
        <f t="shared" si="6"/>
        <v>256087.82499999998</v>
      </c>
      <c r="J108" s="63">
        <f t="shared" si="7"/>
        <v>223963.2</v>
      </c>
      <c r="K108" s="172">
        <f t="shared" si="8"/>
        <v>223963</v>
      </c>
      <c r="L108" s="156"/>
      <c r="M108" s="173"/>
      <c r="N108" s="173"/>
      <c r="O108" s="190"/>
      <c r="P108" s="13"/>
    </row>
    <row r="109" spans="1:16" ht="15.75">
      <c r="A109" s="13">
        <v>105</v>
      </c>
      <c r="B109" s="60">
        <v>580197903</v>
      </c>
      <c r="C109" s="61" t="s">
        <v>263</v>
      </c>
      <c r="D109" s="65" t="s">
        <v>63</v>
      </c>
      <c r="E109" s="53">
        <v>41862</v>
      </c>
      <c r="F109" s="53">
        <v>20931</v>
      </c>
      <c r="G109" s="54">
        <f t="shared" si="9"/>
        <v>0.5</v>
      </c>
      <c r="H109" s="62">
        <v>49229</v>
      </c>
      <c r="I109" s="63">
        <f t="shared" si="6"/>
        <v>29303.399999999998</v>
      </c>
      <c r="J109" s="63">
        <f t="shared" si="7"/>
        <v>39383.200000000004</v>
      </c>
      <c r="K109" s="172">
        <f t="shared" si="8"/>
        <v>29303</v>
      </c>
      <c r="L109" s="156"/>
      <c r="M109" s="173"/>
      <c r="N109" s="173"/>
      <c r="O109" s="190"/>
      <c r="P109" s="13"/>
    </row>
    <row r="110" spans="1:16" ht="15.75">
      <c r="A110">
        <v>106</v>
      </c>
      <c r="B110" s="61">
        <v>580202513</v>
      </c>
      <c r="C110" s="61" t="s">
        <v>95</v>
      </c>
      <c r="D110" s="68" t="s">
        <v>94</v>
      </c>
      <c r="E110" s="53">
        <v>86595.75</v>
      </c>
      <c r="F110" s="53">
        <v>43298</v>
      </c>
      <c r="G110" s="54">
        <f t="shared" si="9"/>
        <v>0.5000014434888548</v>
      </c>
      <c r="H110" s="62">
        <v>82294</v>
      </c>
      <c r="I110" s="63">
        <f t="shared" si="6"/>
        <v>60617.024999999994</v>
      </c>
      <c r="J110" s="63">
        <f t="shared" si="7"/>
        <v>65835.2</v>
      </c>
      <c r="K110" s="172">
        <f t="shared" si="8"/>
        <v>60617</v>
      </c>
      <c r="L110" s="156"/>
      <c r="M110" s="173"/>
      <c r="N110" s="173"/>
      <c r="O110" s="190"/>
      <c r="P110" s="13"/>
    </row>
    <row r="111" spans="1:16" ht="15.75">
      <c r="A111" s="13">
        <v>107</v>
      </c>
      <c r="B111" s="60">
        <v>580202687</v>
      </c>
      <c r="C111" s="61" t="s">
        <v>687</v>
      </c>
      <c r="D111" s="61" t="s">
        <v>60</v>
      </c>
      <c r="E111" s="53">
        <v>18263</v>
      </c>
      <c r="F111" s="53">
        <v>7305</v>
      </c>
      <c r="G111" s="54">
        <f t="shared" si="9"/>
        <v>0.39998904889667636</v>
      </c>
      <c r="H111" s="62">
        <v>17849</v>
      </c>
      <c r="I111" s="63">
        <f t="shared" si="6"/>
        <v>12784.099999999999</v>
      </c>
      <c r="J111" s="63">
        <f t="shared" si="7"/>
        <v>14279.2</v>
      </c>
      <c r="K111" s="172">
        <f t="shared" si="8"/>
        <v>12784</v>
      </c>
      <c r="L111" s="156"/>
      <c r="M111" s="173"/>
      <c r="N111" s="173"/>
      <c r="O111" s="190"/>
      <c r="P111" s="13"/>
    </row>
    <row r="112" spans="1:16" ht="15.75">
      <c r="A112">
        <v>108</v>
      </c>
      <c r="B112" s="60">
        <v>580203107</v>
      </c>
      <c r="C112" s="61" t="s">
        <v>432</v>
      </c>
      <c r="D112" s="61" t="s">
        <v>60</v>
      </c>
      <c r="E112" s="53">
        <v>333663.5</v>
      </c>
      <c r="F112" s="53">
        <v>166832</v>
      </c>
      <c r="G112" s="54">
        <f t="shared" si="9"/>
        <v>0.5000007492578601</v>
      </c>
      <c r="H112" s="62">
        <v>435900</v>
      </c>
      <c r="I112" s="63">
        <f t="shared" si="6"/>
        <v>233564.44999999998</v>
      </c>
      <c r="J112" s="63">
        <f t="shared" si="7"/>
        <v>348720</v>
      </c>
      <c r="K112" s="172">
        <f t="shared" si="8"/>
        <v>233564</v>
      </c>
      <c r="L112" s="156"/>
      <c r="M112" s="173"/>
      <c r="N112" s="173"/>
      <c r="O112" s="190"/>
      <c r="P112" s="13"/>
    </row>
    <row r="113" spans="1:16" ht="15.75">
      <c r="A113" s="13">
        <v>109</v>
      </c>
      <c r="B113" s="85">
        <v>580203412</v>
      </c>
      <c r="C113" s="60" t="s">
        <v>626</v>
      </c>
      <c r="D113" s="61" t="s">
        <v>72</v>
      </c>
      <c r="E113" s="53">
        <v>2212</v>
      </c>
      <c r="F113" s="53">
        <v>885</v>
      </c>
      <c r="G113" s="54">
        <f t="shared" si="9"/>
        <v>0.4000904159132007</v>
      </c>
      <c r="H113" s="62">
        <v>3121</v>
      </c>
      <c r="I113" s="63">
        <f t="shared" si="6"/>
        <v>1548.3999999999999</v>
      </c>
      <c r="J113" s="63">
        <f t="shared" si="7"/>
        <v>2496.8</v>
      </c>
      <c r="K113" s="172">
        <f t="shared" si="8"/>
        <v>1548</v>
      </c>
      <c r="L113" s="156"/>
      <c r="M113" s="173"/>
      <c r="N113" s="173"/>
      <c r="O113" s="190"/>
      <c r="P113" s="13"/>
    </row>
    <row r="114" spans="1:16" ht="15.75">
      <c r="A114">
        <v>110</v>
      </c>
      <c r="B114" s="60">
        <v>580203800</v>
      </c>
      <c r="C114" s="61" t="s">
        <v>433</v>
      </c>
      <c r="D114" s="65" t="s">
        <v>63</v>
      </c>
      <c r="E114" s="53">
        <v>42798</v>
      </c>
      <c r="F114" s="53">
        <v>17119</v>
      </c>
      <c r="G114" s="54">
        <f t="shared" si="9"/>
        <v>0.39999532688443384</v>
      </c>
      <c r="H114" s="62">
        <v>17526</v>
      </c>
      <c r="I114" s="63">
        <f t="shared" si="6"/>
        <v>29958.6</v>
      </c>
      <c r="J114" s="63">
        <f t="shared" si="7"/>
        <v>14020.800000000001</v>
      </c>
      <c r="K114" s="172">
        <f t="shared" si="8"/>
        <v>0</v>
      </c>
      <c r="L114" s="156"/>
      <c r="M114" s="173"/>
      <c r="N114" s="173"/>
      <c r="O114" s="190"/>
      <c r="P114" s="13"/>
    </row>
    <row r="115" spans="1:16" ht="15.75">
      <c r="A115" s="13">
        <v>111</v>
      </c>
      <c r="B115" s="60">
        <v>580204386</v>
      </c>
      <c r="C115" s="61" t="s">
        <v>96</v>
      </c>
      <c r="D115" s="61" t="s">
        <v>60</v>
      </c>
      <c r="E115" s="53">
        <v>290353.75</v>
      </c>
      <c r="F115" s="53">
        <v>145177</v>
      </c>
      <c r="G115" s="54">
        <f t="shared" si="9"/>
        <v>0.5000004305093356</v>
      </c>
      <c r="H115" s="62">
        <v>273201</v>
      </c>
      <c r="I115" s="63">
        <f t="shared" si="6"/>
        <v>203247.625</v>
      </c>
      <c r="J115" s="63">
        <f t="shared" si="7"/>
        <v>218560.80000000002</v>
      </c>
      <c r="K115" s="172">
        <f t="shared" si="8"/>
        <v>203248</v>
      </c>
      <c r="L115" s="156"/>
      <c r="M115" s="173"/>
      <c r="N115" s="173"/>
      <c r="O115" s="190"/>
      <c r="P115" s="13"/>
    </row>
    <row r="116" spans="1:16" ht="15.75">
      <c r="A116">
        <v>112</v>
      </c>
      <c r="B116" s="60">
        <v>580205052</v>
      </c>
      <c r="C116" s="61" t="s">
        <v>97</v>
      </c>
      <c r="D116" s="65" t="s">
        <v>63</v>
      </c>
      <c r="E116" s="53">
        <v>57475.25</v>
      </c>
      <c r="F116" s="53">
        <v>28738</v>
      </c>
      <c r="G116" s="54">
        <f t="shared" si="9"/>
        <v>0.5000065245475226</v>
      </c>
      <c r="H116" s="62">
        <v>92108</v>
      </c>
      <c r="I116" s="63">
        <f t="shared" si="6"/>
        <v>40232.674999999996</v>
      </c>
      <c r="J116" s="63">
        <f t="shared" si="7"/>
        <v>73686.40000000001</v>
      </c>
      <c r="K116" s="172">
        <f t="shared" si="8"/>
        <v>40233</v>
      </c>
      <c r="L116" s="156"/>
      <c r="M116" s="173"/>
      <c r="N116" s="173"/>
      <c r="O116" s="190"/>
      <c r="P116" s="13"/>
    </row>
    <row r="117" spans="1:16" ht="15.75">
      <c r="A117" s="13">
        <v>113</v>
      </c>
      <c r="B117" s="60">
        <v>580208536</v>
      </c>
      <c r="C117" s="61" t="s">
        <v>98</v>
      </c>
      <c r="D117" s="61" t="s">
        <v>60</v>
      </c>
      <c r="E117" s="53">
        <v>23128</v>
      </c>
      <c r="F117" s="53">
        <v>11564</v>
      </c>
      <c r="G117" s="54">
        <f t="shared" si="9"/>
        <v>0.5</v>
      </c>
      <c r="H117" s="62">
        <v>49229</v>
      </c>
      <c r="I117" s="63">
        <f t="shared" si="6"/>
        <v>16189.599999999999</v>
      </c>
      <c r="J117" s="63">
        <f t="shared" si="7"/>
        <v>39383.200000000004</v>
      </c>
      <c r="K117" s="172">
        <f t="shared" si="8"/>
        <v>16190</v>
      </c>
      <c r="L117" s="156"/>
      <c r="M117" s="173"/>
      <c r="N117" s="173"/>
      <c r="O117" s="190"/>
      <c r="P117" s="13"/>
    </row>
    <row r="118" spans="1:16" ht="15.75">
      <c r="A118">
        <v>114</v>
      </c>
      <c r="B118" s="60">
        <v>580209450</v>
      </c>
      <c r="C118" s="61" t="s">
        <v>333</v>
      </c>
      <c r="D118" s="65" t="s">
        <v>63</v>
      </c>
      <c r="E118" s="53">
        <v>284654.5</v>
      </c>
      <c r="F118" s="53">
        <v>142327</v>
      </c>
      <c r="G118" s="54">
        <f t="shared" si="9"/>
        <v>0.4999991217423227</v>
      </c>
      <c r="H118" s="62">
        <v>215332</v>
      </c>
      <c r="I118" s="63">
        <f t="shared" si="6"/>
        <v>199258.15</v>
      </c>
      <c r="J118" s="63">
        <f t="shared" si="7"/>
        <v>172265.6</v>
      </c>
      <c r="K118" s="172">
        <f t="shared" si="8"/>
        <v>172266</v>
      </c>
      <c r="L118" s="156"/>
      <c r="M118" s="173"/>
      <c r="N118" s="173"/>
      <c r="O118" s="190"/>
      <c r="P118" s="13"/>
    </row>
    <row r="119" spans="1:16" ht="15.75">
      <c r="A119" s="13">
        <v>115</v>
      </c>
      <c r="B119" s="60">
        <v>580209955</v>
      </c>
      <c r="C119" s="60" t="s">
        <v>627</v>
      </c>
      <c r="D119" s="61" t="s">
        <v>68</v>
      </c>
      <c r="E119" s="53">
        <v>6023.25</v>
      </c>
      <c r="F119" s="53">
        <v>3012</v>
      </c>
      <c r="G119" s="54">
        <f t="shared" si="9"/>
        <v>0.500062258747354</v>
      </c>
      <c r="H119" s="62">
        <v>7471</v>
      </c>
      <c r="I119" s="63">
        <f t="shared" si="6"/>
        <v>4216.275</v>
      </c>
      <c r="J119" s="63">
        <f t="shared" si="7"/>
        <v>5976.8</v>
      </c>
      <c r="K119" s="172">
        <f t="shared" si="8"/>
        <v>4216</v>
      </c>
      <c r="L119" s="156"/>
      <c r="M119" s="173"/>
      <c r="N119" s="173"/>
      <c r="O119" s="190"/>
      <c r="P119" s="13"/>
    </row>
    <row r="120" spans="1:16" ht="15.75">
      <c r="A120">
        <v>116</v>
      </c>
      <c r="B120" s="61">
        <v>580215150</v>
      </c>
      <c r="C120" s="61" t="s">
        <v>99</v>
      </c>
      <c r="D120" s="61" t="s">
        <v>68</v>
      </c>
      <c r="E120" s="53">
        <v>62527.25</v>
      </c>
      <c r="F120" s="53">
        <v>31264</v>
      </c>
      <c r="G120" s="54">
        <f t="shared" si="9"/>
        <v>0.5000059973851401</v>
      </c>
      <c r="H120" s="62">
        <v>91637</v>
      </c>
      <c r="I120" s="63">
        <f t="shared" si="6"/>
        <v>43769.075</v>
      </c>
      <c r="J120" s="63">
        <f t="shared" si="7"/>
        <v>73309.6</v>
      </c>
      <c r="K120" s="172">
        <f t="shared" si="8"/>
        <v>43769</v>
      </c>
      <c r="L120" s="156"/>
      <c r="M120" s="173"/>
      <c r="N120" s="173"/>
      <c r="O120" s="190"/>
      <c r="P120" s="13"/>
    </row>
    <row r="121" spans="1:16" ht="15.75">
      <c r="A121" s="13">
        <v>117</v>
      </c>
      <c r="B121" s="60">
        <v>580215861</v>
      </c>
      <c r="C121" s="61" t="s">
        <v>100</v>
      </c>
      <c r="D121" s="61" t="s">
        <v>60</v>
      </c>
      <c r="E121" s="53">
        <f>615993+75922</f>
        <v>691915</v>
      </c>
      <c r="F121" s="53">
        <f>307997+21399</f>
        <v>329396</v>
      </c>
      <c r="G121" s="54">
        <f t="shared" si="9"/>
        <v>0.4760642564476851</v>
      </c>
      <c r="H121" s="62">
        <f>456844+28519</f>
        <v>485363</v>
      </c>
      <c r="I121" s="63">
        <f t="shared" si="6"/>
        <v>484340.49999999994</v>
      </c>
      <c r="J121" s="63">
        <f t="shared" si="7"/>
        <v>388290.4</v>
      </c>
      <c r="K121" s="172">
        <f t="shared" si="8"/>
        <v>388290</v>
      </c>
      <c r="L121" s="156"/>
      <c r="M121" s="173"/>
      <c r="N121" s="173"/>
      <c r="O121" s="190"/>
      <c r="P121" s="13"/>
    </row>
    <row r="122" spans="1:16" ht="15.75">
      <c r="A122">
        <v>118</v>
      </c>
      <c r="B122" s="60">
        <v>580215978</v>
      </c>
      <c r="C122" s="61" t="s">
        <v>101</v>
      </c>
      <c r="D122" s="65" t="s">
        <v>63</v>
      </c>
      <c r="E122" s="53">
        <v>36091.75</v>
      </c>
      <c r="F122" s="53">
        <v>18046</v>
      </c>
      <c r="G122" s="54">
        <f t="shared" si="9"/>
        <v>0.5000034633953743</v>
      </c>
      <c r="H122" s="62">
        <v>64067</v>
      </c>
      <c r="I122" s="63">
        <f t="shared" si="6"/>
        <v>25264.225</v>
      </c>
      <c r="J122" s="63">
        <f t="shared" si="7"/>
        <v>51253.600000000006</v>
      </c>
      <c r="K122" s="172">
        <f t="shared" si="8"/>
        <v>25264</v>
      </c>
      <c r="L122" s="156"/>
      <c r="M122" s="173"/>
      <c r="N122" s="173"/>
      <c r="O122" s="190"/>
      <c r="P122" s="13"/>
    </row>
    <row r="123" spans="1:16" ht="15.75">
      <c r="A123" s="13">
        <v>119</v>
      </c>
      <c r="B123" s="60">
        <v>580216372</v>
      </c>
      <c r="C123" s="61" t="s">
        <v>504</v>
      </c>
      <c r="D123" s="61" t="s">
        <v>74</v>
      </c>
      <c r="E123" s="53">
        <v>810274.75</v>
      </c>
      <c r="F123" s="53">
        <v>405137</v>
      </c>
      <c r="G123" s="54">
        <f t="shared" si="9"/>
        <v>0.4999995371940197</v>
      </c>
      <c r="H123" s="62">
        <v>940265</v>
      </c>
      <c r="I123" s="63">
        <f t="shared" si="6"/>
        <v>567192.325</v>
      </c>
      <c r="J123" s="63">
        <f t="shared" si="7"/>
        <v>752212</v>
      </c>
      <c r="K123" s="172">
        <f t="shared" si="8"/>
        <v>567192</v>
      </c>
      <c r="L123" s="156"/>
      <c r="M123" s="173"/>
      <c r="N123" s="173"/>
      <c r="O123" s="190"/>
      <c r="P123" s="13"/>
    </row>
    <row r="124" spans="1:16" ht="15.75">
      <c r="A124">
        <v>120</v>
      </c>
      <c r="B124" s="60">
        <v>580216943</v>
      </c>
      <c r="C124" s="61" t="s">
        <v>434</v>
      </c>
      <c r="D124" s="61" t="s">
        <v>60</v>
      </c>
      <c r="E124" s="53">
        <v>42352.75</v>
      </c>
      <c r="F124" s="53">
        <v>21176</v>
      </c>
      <c r="G124" s="54">
        <f t="shared" si="9"/>
        <v>0.49999114579336645</v>
      </c>
      <c r="H124" s="62">
        <v>32636</v>
      </c>
      <c r="I124" s="63">
        <f t="shared" si="6"/>
        <v>29646.925</v>
      </c>
      <c r="J124" s="63">
        <f t="shared" si="7"/>
        <v>26108.800000000003</v>
      </c>
      <c r="K124" s="172">
        <f t="shared" si="8"/>
        <v>26109</v>
      </c>
      <c r="L124" s="156"/>
      <c r="M124" s="173"/>
      <c r="N124" s="173"/>
      <c r="O124" s="190"/>
      <c r="P124" s="13"/>
    </row>
    <row r="125" spans="1:16" ht="15.75">
      <c r="A125" s="13">
        <v>121</v>
      </c>
      <c r="B125" s="72">
        <v>580217826</v>
      </c>
      <c r="C125" s="73" t="s">
        <v>563</v>
      </c>
      <c r="D125" s="99" t="s">
        <v>60</v>
      </c>
      <c r="E125" s="53">
        <v>8825</v>
      </c>
      <c r="F125" s="53">
        <v>2814</v>
      </c>
      <c r="G125" s="54">
        <f t="shared" si="9"/>
        <v>0.31886685552407934</v>
      </c>
      <c r="H125" s="62">
        <v>9163</v>
      </c>
      <c r="I125" s="63">
        <f t="shared" si="6"/>
        <v>6177.5</v>
      </c>
      <c r="J125" s="63">
        <f t="shared" si="7"/>
        <v>7330.400000000001</v>
      </c>
      <c r="K125" s="172">
        <f t="shared" si="8"/>
        <v>6178</v>
      </c>
      <c r="L125" s="156"/>
      <c r="M125" s="173"/>
      <c r="N125" s="173"/>
      <c r="O125" s="190"/>
      <c r="P125" s="13"/>
    </row>
    <row r="126" spans="1:16" ht="15.75">
      <c r="A126">
        <v>122</v>
      </c>
      <c r="B126" s="61">
        <v>580220580</v>
      </c>
      <c r="C126" s="61" t="s">
        <v>102</v>
      </c>
      <c r="D126" s="61" t="s">
        <v>68</v>
      </c>
      <c r="E126" s="53">
        <v>187819.8</v>
      </c>
      <c r="F126" s="53">
        <v>93910</v>
      </c>
      <c r="G126" s="54">
        <f t="shared" si="9"/>
        <v>0.5000005324252289</v>
      </c>
      <c r="H126" s="62">
        <v>212610</v>
      </c>
      <c r="I126" s="63">
        <f t="shared" si="6"/>
        <v>131473.86</v>
      </c>
      <c r="J126" s="63">
        <f t="shared" si="7"/>
        <v>170088</v>
      </c>
      <c r="K126" s="172">
        <f t="shared" si="8"/>
        <v>131474</v>
      </c>
      <c r="L126" s="156"/>
      <c r="M126" s="173"/>
      <c r="N126" s="173"/>
      <c r="O126" s="190"/>
      <c r="P126" s="13"/>
    </row>
    <row r="127" spans="1:16" ht="15.75">
      <c r="A127" s="13">
        <v>123</v>
      </c>
      <c r="B127" s="82">
        <v>580221448</v>
      </c>
      <c r="C127" s="82" t="s">
        <v>435</v>
      </c>
      <c r="D127" s="61" t="s">
        <v>74</v>
      </c>
      <c r="E127" s="53">
        <v>45360</v>
      </c>
      <c r="F127" s="53">
        <v>22680</v>
      </c>
      <c r="G127" s="54">
        <f t="shared" si="9"/>
        <v>0.5</v>
      </c>
      <c r="H127" s="62">
        <v>27187</v>
      </c>
      <c r="I127" s="63">
        <f t="shared" si="6"/>
        <v>31751.999999999996</v>
      </c>
      <c r="J127" s="63">
        <f t="shared" si="7"/>
        <v>21749.600000000002</v>
      </c>
      <c r="K127" s="172">
        <f t="shared" si="8"/>
        <v>0</v>
      </c>
      <c r="L127" s="156"/>
      <c r="M127" s="173"/>
      <c r="N127" s="173"/>
      <c r="O127" s="190"/>
      <c r="P127" s="13"/>
    </row>
    <row r="128" spans="1:16" ht="15.75">
      <c r="A128">
        <v>124</v>
      </c>
      <c r="B128" s="61">
        <v>580221976</v>
      </c>
      <c r="C128" s="69" t="s">
        <v>103</v>
      </c>
      <c r="D128" s="61" t="s">
        <v>74</v>
      </c>
      <c r="E128" s="53">
        <v>60967.25</v>
      </c>
      <c r="F128" s="53">
        <v>30484</v>
      </c>
      <c r="G128" s="54">
        <f t="shared" si="9"/>
        <v>0.5000061508432806</v>
      </c>
      <c r="H128" s="62">
        <v>62884</v>
      </c>
      <c r="I128" s="63">
        <f t="shared" si="6"/>
        <v>42677.075</v>
      </c>
      <c r="J128" s="63">
        <f t="shared" si="7"/>
        <v>50307.200000000004</v>
      </c>
      <c r="K128" s="172">
        <f t="shared" si="8"/>
        <v>42677</v>
      </c>
      <c r="L128" s="156"/>
      <c r="M128" s="173"/>
      <c r="N128" s="173"/>
      <c r="O128" s="190"/>
      <c r="P128" s="13"/>
    </row>
    <row r="129" spans="1:16" ht="15.75">
      <c r="A129" s="13">
        <v>125</v>
      </c>
      <c r="B129" s="60">
        <v>580224046</v>
      </c>
      <c r="C129" s="61" t="s">
        <v>104</v>
      </c>
      <c r="D129" s="65" t="s">
        <v>63</v>
      </c>
      <c r="E129" s="53">
        <f>543378.5+94902</f>
        <v>638280.5</v>
      </c>
      <c r="F129" s="53">
        <f>271689+26749</f>
        <v>298438</v>
      </c>
      <c r="G129" s="54">
        <f t="shared" si="9"/>
        <v>0.46756559224353555</v>
      </c>
      <c r="H129" s="62">
        <f>389564+35648</f>
        <v>425212</v>
      </c>
      <c r="I129" s="63">
        <f t="shared" si="6"/>
        <v>446796.35</v>
      </c>
      <c r="J129" s="63">
        <f t="shared" si="7"/>
        <v>340169.60000000003</v>
      </c>
      <c r="K129" s="172">
        <f t="shared" si="8"/>
        <v>340170</v>
      </c>
      <c r="L129" s="156"/>
      <c r="M129" s="173"/>
      <c r="N129" s="173"/>
      <c r="O129" s="190"/>
      <c r="P129" s="13"/>
    </row>
    <row r="130" spans="1:16" ht="15">
      <c r="A130">
        <v>126</v>
      </c>
      <c r="B130" s="92">
        <v>580226082</v>
      </c>
      <c r="C130" s="90" t="s">
        <v>334</v>
      </c>
      <c r="D130" s="90" t="s">
        <v>72</v>
      </c>
      <c r="E130" s="53">
        <v>75430.5</v>
      </c>
      <c r="F130" s="53">
        <v>37715</v>
      </c>
      <c r="G130" s="54">
        <f t="shared" si="9"/>
        <v>0.49999668569080147</v>
      </c>
      <c r="H130" s="62">
        <v>58072</v>
      </c>
      <c r="I130" s="63">
        <f t="shared" si="6"/>
        <v>52801.35</v>
      </c>
      <c r="J130" s="63">
        <f t="shared" si="7"/>
        <v>46457.600000000006</v>
      </c>
      <c r="K130" s="172">
        <f t="shared" si="8"/>
        <v>46458</v>
      </c>
      <c r="L130" s="156"/>
      <c r="M130" s="173"/>
      <c r="N130" s="173"/>
      <c r="O130" s="190"/>
      <c r="P130" s="13"/>
    </row>
    <row r="131" spans="1:16" ht="15.75">
      <c r="A131" s="13">
        <v>127</v>
      </c>
      <c r="B131" s="60">
        <v>580226504</v>
      </c>
      <c r="C131" s="61" t="s">
        <v>105</v>
      </c>
      <c r="D131" s="61" t="s">
        <v>60</v>
      </c>
      <c r="E131" s="53">
        <f>526795.75+77250</f>
        <v>604045.75</v>
      </c>
      <c r="F131" s="53">
        <f>263398+38625</f>
        <v>302023</v>
      </c>
      <c r="G131" s="54">
        <f t="shared" si="9"/>
        <v>0.5000002069379679</v>
      </c>
      <c r="H131" s="62">
        <f>135079+85796</f>
        <v>220875</v>
      </c>
      <c r="I131" s="63">
        <f t="shared" si="6"/>
        <v>422832.02499999997</v>
      </c>
      <c r="J131" s="63">
        <f t="shared" si="7"/>
        <v>176700</v>
      </c>
      <c r="K131" s="172">
        <f t="shared" si="8"/>
        <v>0</v>
      </c>
      <c r="L131" s="156"/>
      <c r="M131" s="173"/>
      <c r="N131" s="173"/>
      <c r="O131" s="190"/>
      <c r="P131" s="13"/>
    </row>
    <row r="132" spans="1:16" ht="15.75">
      <c r="A132">
        <v>128</v>
      </c>
      <c r="B132" s="60">
        <v>580226785</v>
      </c>
      <c r="C132" s="60" t="s">
        <v>628</v>
      </c>
      <c r="D132" s="61" t="s">
        <v>63</v>
      </c>
      <c r="E132" s="53">
        <v>73189</v>
      </c>
      <c r="F132" s="53">
        <v>29276</v>
      </c>
      <c r="G132" s="54">
        <f t="shared" si="9"/>
        <v>0.4000054653021629</v>
      </c>
      <c r="H132" s="62">
        <v>120613</v>
      </c>
      <c r="I132" s="63">
        <f t="shared" si="6"/>
        <v>51232.299999999996</v>
      </c>
      <c r="J132" s="63">
        <f t="shared" si="7"/>
        <v>96490.40000000001</v>
      </c>
      <c r="K132" s="172">
        <f t="shared" si="8"/>
        <v>51232</v>
      </c>
      <c r="L132" s="156"/>
      <c r="M132" s="173"/>
      <c r="N132" s="173"/>
      <c r="O132" s="190"/>
      <c r="P132" s="13"/>
    </row>
    <row r="133" spans="1:16" ht="15.75">
      <c r="A133" s="13">
        <v>129</v>
      </c>
      <c r="B133" s="60">
        <v>580226827</v>
      </c>
      <c r="C133" s="61" t="s">
        <v>107</v>
      </c>
      <c r="D133" s="65" t="s">
        <v>63</v>
      </c>
      <c r="E133" s="53">
        <v>159549.5</v>
      </c>
      <c r="F133" s="53">
        <v>79775</v>
      </c>
      <c r="G133" s="54">
        <f aca="true" t="shared" si="10" ref="G133:G164">F133/E133</f>
        <v>0.5000015669118362</v>
      </c>
      <c r="H133" s="62">
        <v>181625</v>
      </c>
      <c r="I133" s="63">
        <f aca="true" t="shared" si="11" ref="I133:I196">E133*$I$2</f>
        <v>111684.65</v>
      </c>
      <c r="J133" s="63">
        <f aca="true" t="shared" si="12" ref="J133:J196">H133*$J$2</f>
        <v>145300</v>
      </c>
      <c r="K133" s="172">
        <f aca="true" t="shared" si="13" ref="K133:K196">ROUND(IF(IF(MIN(I133,J133)&lt;F133,MIN(I133,J133)-F133,MIN(I133,J133))&lt;0,0,IF(MIN(I133,J133)&lt;F133,MIN(I133,J133)-F133,MIN(I133,J133))),0)</f>
        <v>111685</v>
      </c>
      <c r="L133" s="156"/>
      <c r="M133" s="173"/>
      <c r="N133" s="173"/>
      <c r="O133" s="190"/>
      <c r="P133" s="13"/>
    </row>
    <row r="134" spans="1:16" ht="15.75">
      <c r="A134">
        <v>130</v>
      </c>
      <c r="B134" s="61">
        <v>580226934</v>
      </c>
      <c r="C134" s="61" t="s">
        <v>688</v>
      </c>
      <c r="D134" s="61" t="s">
        <v>68</v>
      </c>
      <c r="E134" s="53">
        <v>35718</v>
      </c>
      <c r="F134" s="53">
        <v>17859</v>
      </c>
      <c r="G134" s="54">
        <f t="shared" si="10"/>
        <v>0.5</v>
      </c>
      <c r="H134" s="62">
        <v>73280</v>
      </c>
      <c r="I134" s="63">
        <f t="shared" si="11"/>
        <v>25002.6</v>
      </c>
      <c r="J134" s="63">
        <f t="shared" si="12"/>
        <v>58624</v>
      </c>
      <c r="K134" s="172">
        <f t="shared" si="13"/>
        <v>25003</v>
      </c>
      <c r="L134" s="156"/>
      <c r="M134" s="173"/>
      <c r="N134" s="173"/>
      <c r="O134" s="190"/>
      <c r="P134" s="13"/>
    </row>
    <row r="135" spans="1:16" ht="15.75">
      <c r="A135" s="13">
        <v>131</v>
      </c>
      <c r="B135" s="60">
        <v>580228443</v>
      </c>
      <c r="C135" s="61" t="s">
        <v>108</v>
      </c>
      <c r="D135" s="61" t="s">
        <v>60</v>
      </c>
      <c r="E135" s="53">
        <f>275972.25+212883</f>
        <v>488855.25</v>
      </c>
      <c r="F135" s="53">
        <f>137986+106442</f>
        <v>244428</v>
      </c>
      <c r="G135" s="54">
        <f t="shared" si="10"/>
        <v>0.5000007670982362</v>
      </c>
      <c r="H135" s="62">
        <f>275945+276337</f>
        <v>552282</v>
      </c>
      <c r="I135" s="63">
        <f t="shared" si="11"/>
        <v>342198.675</v>
      </c>
      <c r="J135" s="63">
        <f t="shared" si="12"/>
        <v>441825.60000000003</v>
      </c>
      <c r="K135" s="172">
        <f t="shared" si="13"/>
        <v>342199</v>
      </c>
      <c r="L135" s="156"/>
      <c r="M135" s="173"/>
      <c r="N135" s="173"/>
      <c r="O135" s="190"/>
      <c r="P135" s="13"/>
    </row>
    <row r="136" spans="1:16" ht="15.75">
      <c r="A136">
        <v>132</v>
      </c>
      <c r="B136" s="60">
        <v>580230464</v>
      </c>
      <c r="C136" s="61" t="s">
        <v>335</v>
      </c>
      <c r="D136" s="61" t="s">
        <v>60</v>
      </c>
      <c r="E136" s="53">
        <v>40290.75</v>
      </c>
      <c r="F136" s="53">
        <v>20145</v>
      </c>
      <c r="G136" s="54">
        <f t="shared" si="10"/>
        <v>0.4999906926527801</v>
      </c>
      <c r="H136" s="62">
        <v>38452</v>
      </c>
      <c r="I136" s="63">
        <f t="shared" si="11"/>
        <v>28203.524999999998</v>
      </c>
      <c r="J136" s="63">
        <f t="shared" si="12"/>
        <v>30761.600000000002</v>
      </c>
      <c r="K136" s="172">
        <f t="shared" si="13"/>
        <v>28204</v>
      </c>
      <c r="L136" s="156"/>
      <c r="M136" s="173"/>
      <c r="N136" s="173"/>
      <c r="O136" s="190"/>
      <c r="P136" s="13"/>
    </row>
    <row r="137" spans="1:16" ht="15.75">
      <c r="A137" s="13">
        <v>133</v>
      </c>
      <c r="B137" s="60">
        <v>580231843</v>
      </c>
      <c r="C137" s="61" t="s">
        <v>436</v>
      </c>
      <c r="D137" s="65" t="s">
        <v>68</v>
      </c>
      <c r="E137" s="53">
        <v>94947.25</v>
      </c>
      <c r="F137" s="53">
        <v>47474</v>
      </c>
      <c r="G137" s="54">
        <f t="shared" si="10"/>
        <v>0.500003949561467</v>
      </c>
      <c r="H137" s="62">
        <v>72254</v>
      </c>
      <c r="I137" s="63">
        <f t="shared" si="11"/>
        <v>66463.075</v>
      </c>
      <c r="J137" s="63">
        <f t="shared" si="12"/>
        <v>57803.200000000004</v>
      </c>
      <c r="K137" s="172">
        <f t="shared" si="13"/>
        <v>57803</v>
      </c>
      <c r="L137" s="156"/>
      <c r="M137" s="173"/>
      <c r="N137" s="173"/>
      <c r="O137" s="190"/>
      <c r="P137" s="13"/>
    </row>
    <row r="138" spans="1:16" ht="15.75">
      <c r="A138">
        <v>134</v>
      </c>
      <c r="B138" s="60">
        <v>580233179</v>
      </c>
      <c r="C138" s="61" t="s">
        <v>109</v>
      </c>
      <c r="D138" s="61" t="s">
        <v>60</v>
      </c>
      <c r="E138" s="53">
        <v>361709.75</v>
      </c>
      <c r="F138" s="53">
        <v>180855</v>
      </c>
      <c r="G138" s="54">
        <f t="shared" si="10"/>
        <v>0.5000003455809526</v>
      </c>
      <c r="H138" s="62">
        <v>297975</v>
      </c>
      <c r="I138" s="63">
        <f t="shared" si="11"/>
        <v>253196.82499999998</v>
      </c>
      <c r="J138" s="63">
        <f t="shared" si="12"/>
        <v>238380</v>
      </c>
      <c r="K138" s="172">
        <f t="shared" si="13"/>
        <v>238380</v>
      </c>
      <c r="L138" s="156"/>
      <c r="M138" s="173"/>
      <c r="N138" s="173"/>
      <c r="O138" s="190"/>
      <c r="P138" s="13"/>
    </row>
    <row r="139" spans="1:16" ht="15.75">
      <c r="A139" s="13">
        <v>135</v>
      </c>
      <c r="B139" s="60">
        <v>580233997</v>
      </c>
      <c r="C139" s="61" t="s">
        <v>110</v>
      </c>
      <c r="D139" s="61" t="s">
        <v>60</v>
      </c>
      <c r="E139" s="53">
        <f>219566.75+75922</f>
        <v>295488.75</v>
      </c>
      <c r="F139" s="53">
        <v>109783</v>
      </c>
      <c r="G139" s="54">
        <f t="shared" si="10"/>
        <v>0.3715302190015694</v>
      </c>
      <c r="H139" s="62">
        <v>230622</v>
      </c>
      <c r="I139" s="63">
        <f t="shared" si="11"/>
        <v>206842.125</v>
      </c>
      <c r="J139" s="63">
        <f t="shared" si="12"/>
        <v>184497.6</v>
      </c>
      <c r="K139" s="172">
        <f t="shared" si="13"/>
        <v>184498</v>
      </c>
      <c r="L139" s="156"/>
      <c r="M139" s="173"/>
      <c r="N139" s="173"/>
      <c r="O139" s="190"/>
      <c r="P139" s="13"/>
    </row>
    <row r="140" spans="1:16" ht="15.75">
      <c r="A140">
        <v>136</v>
      </c>
      <c r="B140" s="61">
        <v>580235687</v>
      </c>
      <c r="C140" s="61" t="s">
        <v>111</v>
      </c>
      <c r="D140" s="61" t="s">
        <v>74</v>
      </c>
      <c r="E140" s="53">
        <v>109837</v>
      </c>
      <c r="F140" s="53">
        <v>54919</v>
      </c>
      <c r="G140" s="54">
        <f t="shared" si="10"/>
        <v>0.5000045522000783</v>
      </c>
      <c r="H140" s="62">
        <v>97772</v>
      </c>
      <c r="I140" s="63">
        <f t="shared" si="11"/>
        <v>76885.9</v>
      </c>
      <c r="J140" s="63">
        <f t="shared" si="12"/>
        <v>78217.6</v>
      </c>
      <c r="K140" s="172">
        <f t="shared" si="13"/>
        <v>76886</v>
      </c>
      <c r="L140" s="156"/>
      <c r="M140" s="173"/>
      <c r="N140" s="173"/>
      <c r="O140" s="190"/>
      <c r="P140" s="13"/>
    </row>
    <row r="141" spans="1:16" ht="15.75">
      <c r="A141" s="13">
        <v>137</v>
      </c>
      <c r="B141" s="60">
        <v>580238160</v>
      </c>
      <c r="C141" s="60" t="s">
        <v>629</v>
      </c>
      <c r="D141" s="61" t="s">
        <v>63</v>
      </c>
      <c r="E141" s="53">
        <v>176044</v>
      </c>
      <c r="F141" s="53">
        <v>88022</v>
      </c>
      <c r="G141" s="54">
        <f t="shared" si="10"/>
        <v>0.5</v>
      </c>
      <c r="H141" s="62">
        <v>175129</v>
      </c>
      <c r="I141" s="63">
        <f t="shared" si="11"/>
        <v>123230.79999999999</v>
      </c>
      <c r="J141" s="63">
        <f t="shared" si="12"/>
        <v>140103.2</v>
      </c>
      <c r="K141" s="172">
        <f t="shared" si="13"/>
        <v>123231</v>
      </c>
      <c r="L141" s="156"/>
      <c r="M141" s="173"/>
      <c r="N141" s="173"/>
      <c r="O141" s="190"/>
      <c r="P141" s="13"/>
    </row>
    <row r="142" spans="1:16" ht="15.75">
      <c r="A142">
        <v>138</v>
      </c>
      <c r="B142" s="60">
        <v>580238178</v>
      </c>
      <c r="C142" s="61" t="s">
        <v>505</v>
      </c>
      <c r="D142" s="65" t="s">
        <v>63</v>
      </c>
      <c r="E142" s="53">
        <v>60548.75</v>
      </c>
      <c r="F142" s="53">
        <v>30274</v>
      </c>
      <c r="G142" s="54">
        <f t="shared" si="10"/>
        <v>0.49999380664340715</v>
      </c>
      <c r="H142" s="62">
        <v>64410</v>
      </c>
      <c r="I142" s="63">
        <f t="shared" si="11"/>
        <v>42384.125</v>
      </c>
      <c r="J142" s="63">
        <f t="shared" si="12"/>
        <v>51528</v>
      </c>
      <c r="K142" s="172">
        <f t="shared" si="13"/>
        <v>42384</v>
      </c>
      <c r="L142" s="156"/>
      <c r="M142" s="173"/>
      <c r="N142" s="173"/>
      <c r="O142" s="190"/>
      <c r="P142" s="13"/>
    </row>
    <row r="143" spans="1:16" ht="15.75">
      <c r="A143" s="13">
        <v>139</v>
      </c>
      <c r="B143" s="60">
        <v>580241644</v>
      </c>
      <c r="C143" s="61" t="s">
        <v>506</v>
      </c>
      <c r="D143" s="61" t="s">
        <v>60</v>
      </c>
      <c r="E143" s="53">
        <v>100090</v>
      </c>
      <c r="F143" s="53">
        <v>50045</v>
      </c>
      <c r="G143" s="54">
        <f t="shared" si="10"/>
        <v>0.5</v>
      </c>
      <c r="H143" s="62">
        <v>96574</v>
      </c>
      <c r="I143" s="63">
        <f t="shared" si="11"/>
        <v>70063</v>
      </c>
      <c r="J143" s="63">
        <f t="shared" si="12"/>
        <v>77259.2</v>
      </c>
      <c r="K143" s="172">
        <f t="shared" si="13"/>
        <v>70063</v>
      </c>
      <c r="L143" s="156"/>
      <c r="M143" s="173"/>
      <c r="N143" s="173"/>
      <c r="O143" s="190"/>
      <c r="P143" s="13"/>
    </row>
    <row r="144" spans="1:16" ht="15.75">
      <c r="A144">
        <v>140</v>
      </c>
      <c r="B144" s="60">
        <v>580245348</v>
      </c>
      <c r="C144" s="61" t="s">
        <v>336</v>
      </c>
      <c r="D144" s="61" t="s">
        <v>60</v>
      </c>
      <c r="E144" s="53">
        <v>47376.5</v>
      </c>
      <c r="F144" s="53">
        <v>23688</v>
      </c>
      <c r="G144" s="54">
        <f t="shared" si="10"/>
        <v>0.49999472312222304</v>
      </c>
      <c r="H144" s="62">
        <v>54788</v>
      </c>
      <c r="I144" s="63">
        <f t="shared" si="11"/>
        <v>33163.549999999996</v>
      </c>
      <c r="J144" s="63">
        <f t="shared" si="12"/>
        <v>43830.4</v>
      </c>
      <c r="K144" s="172">
        <f t="shared" si="13"/>
        <v>33164</v>
      </c>
      <c r="L144" s="156"/>
      <c r="M144" s="173"/>
      <c r="N144" s="173"/>
      <c r="O144" s="190"/>
      <c r="P144" s="13"/>
    </row>
    <row r="145" spans="1:16" ht="15.75">
      <c r="A145" s="13">
        <v>141</v>
      </c>
      <c r="B145" s="60">
        <v>580245553</v>
      </c>
      <c r="C145" s="61" t="s">
        <v>769</v>
      </c>
      <c r="D145" s="65" t="s">
        <v>63</v>
      </c>
      <c r="E145" s="53">
        <v>9305.25</v>
      </c>
      <c r="F145" s="53">
        <v>4653</v>
      </c>
      <c r="G145" s="54">
        <f t="shared" si="10"/>
        <v>0.5000402998307407</v>
      </c>
      <c r="H145" s="62">
        <v>6648</v>
      </c>
      <c r="I145" s="63">
        <f t="shared" si="11"/>
        <v>6513.674999999999</v>
      </c>
      <c r="J145" s="63">
        <f t="shared" si="12"/>
        <v>5318.400000000001</v>
      </c>
      <c r="K145" s="172">
        <f t="shared" si="13"/>
        <v>5318</v>
      </c>
      <c r="L145" s="156"/>
      <c r="M145" s="173"/>
      <c r="N145" s="173"/>
      <c r="O145" s="190"/>
      <c r="P145" s="13"/>
    </row>
    <row r="146" spans="1:16" ht="15.75">
      <c r="A146">
        <v>142</v>
      </c>
      <c r="B146" s="60">
        <v>580245561</v>
      </c>
      <c r="C146" s="61" t="s">
        <v>689</v>
      </c>
      <c r="D146" s="65" t="s">
        <v>63</v>
      </c>
      <c r="E146" s="53">
        <v>16213</v>
      </c>
      <c r="F146" s="53">
        <v>8107</v>
      </c>
      <c r="G146" s="54">
        <f t="shared" si="10"/>
        <v>0.5000308394498242</v>
      </c>
      <c r="H146" s="62">
        <v>26629</v>
      </c>
      <c r="I146" s="63">
        <f t="shared" si="11"/>
        <v>11349.099999999999</v>
      </c>
      <c r="J146" s="63">
        <f t="shared" si="12"/>
        <v>21303.2</v>
      </c>
      <c r="K146" s="172">
        <f t="shared" si="13"/>
        <v>11349</v>
      </c>
      <c r="L146" s="156"/>
      <c r="M146" s="173"/>
      <c r="N146" s="173"/>
      <c r="O146" s="190"/>
      <c r="P146" s="13"/>
    </row>
    <row r="147" spans="1:16" ht="15">
      <c r="A147" s="13">
        <v>143</v>
      </c>
      <c r="B147" s="89">
        <v>580245736</v>
      </c>
      <c r="C147" s="90" t="s">
        <v>507</v>
      </c>
      <c r="D147" s="90" t="s">
        <v>72</v>
      </c>
      <c r="E147" s="53">
        <v>70771.25</v>
      </c>
      <c r="F147" s="53">
        <v>35386</v>
      </c>
      <c r="G147" s="54">
        <f t="shared" si="10"/>
        <v>0.500005298761856</v>
      </c>
      <c r="H147" s="62">
        <v>64070</v>
      </c>
      <c r="I147" s="63">
        <f t="shared" si="11"/>
        <v>49539.875</v>
      </c>
      <c r="J147" s="63">
        <f t="shared" si="12"/>
        <v>51256</v>
      </c>
      <c r="K147" s="172">
        <f t="shared" si="13"/>
        <v>49540</v>
      </c>
      <c r="L147" s="156"/>
      <c r="M147" s="173"/>
      <c r="N147" s="173"/>
      <c r="O147" s="190"/>
      <c r="P147" s="13"/>
    </row>
    <row r="148" spans="1:16" ht="15.75">
      <c r="A148">
        <v>144</v>
      </c>
      <c r="B148" s="60">
        <v>580246957</v>
      </c>
      <c r="C148" s="61" t="s">
        <v>690</v>
      </c>
      <c r="D148" s="61" t="s">
        <v>60</v>
      </c>
      <c r="E148" s="53">
        <v>32156.25</v>
      </c>
      <c r="F148" s="53">
        <v>12863</v>
      </c>
      <c r="G148" s="54">
        <f t="shared" si="10"/>
        <v>0.40001554907677356</v>
      </c>
      <c r="H148" s="77" t="e">
        <v>#N/A</v>
      </c>
      <c r="I148" s="63">
        <f t="shared" si="11"/>
        <v>22509.375</v>
      </c>
      <c r="J148" s="63" t="e">
        <f t="shared" si="12"/>
        <v>#N/A</v>
      </c>
      <c r="K148" s="172" t="e">
        <f t="shared" si="13"/>
        <v>#N/A</v>
      </c>
      <c r="L148" s="156"/>
      <c r="M148" s="173"/>
      <c r="N148" s="173"/>
      <c r="O148" s="190"/>
      <c r="P148" s="13"/>
    </row>
    <row r="149" spans="1:16" ht="15.75">
      <c r="A149" s="13">
        <v>145</v>
      </c>
      <c r="B149" s="60">
        <v>580247724</v>
      </c>
      <c r="C149" s="61" t="s">
        <v>591</v>
      </c>
      <c r="D149" s="61" t="s">
        <v>60</v>
      </c>
      <c r="E149" s="53">
        <v>54410.75</v>
      </c>
      <c r="F149" s="53">
        <v>27205</v>
      </c>
      <c r="G149" s="54">
        <f t="shared" si="10"/>
        <v>0.49999310797958124</v>
      </c>
      <c r="H149" s="62">
        <v>41316</v>
      </c>
      <c r="I149" s="63">
        <f t="shared" si="11"/>
        <v>38087.524999999994</v>
      </c>
      <c r="J149" s="63">
        <f t="shared" si="12"/>
        <v>33052.8</v>
      </c>
      <c r="K149" s="172">
        <f t="shared" si="13"/>
        <v>33053</v>
      </c>
      <c r="L149" s="156"/>
      <c r="M149" s="173"/>
      <c r="N149" s="173"/>
      <c r="O149" s="190"/>
      <c r="P149" s="13"/>
    </row>
    <row r="150" spans="1:16" ht="15.75">
      <c r="A150">
        <v>146</v>
      </c>
      <c r="B150" s="61">
        <v>580248342</v>
      </c>
      <c r="C150" s="61" t="s">
        <v>337</v>
      </c>
      <c r="D150" s="61" t="s">
        <v>74</v>
      </c>
      <c r="E150" s="53">
        <v>175464.25</v>
      </c>
      <c r="F150" s="53">
        <v>87732</v>
      </c>
      <c r="G150" s="54">
        <f t="shared" si="10"/>
        <v>0.49999928760417006</v>
      </c>
      <c r="H150" s="62">
        <v>110636</v>
      </c>
      <c r="I150" s="63">
        <f t="shared" si="11"/>
        <v>122824.97499999999</v>
      </c>
      <c r="J150" s="63">
        <f t="shared" si="12"/>
        <v>88508.8</v>
      </c>
      <c r="K150" s="172">
        <f t="shared" si="13"/>
        <v>88509</v>
      </c>
      <c r="L150" s="156"/>
      <c r="M150" s="173"/>
      <c r="N150" s="173"/>
      <c r="O150" s="190"/>
      <c r="P150" s="13"/>
    </row>
    <row r="151" spans="1:16" ht="15.75">
      <c r="A151" s="13">
        <v>147</v>
      </c>
      <c r="B151" s="85">
        <v>580250942</v>
      </c>
      <c r="C151" s="93" t="s">
        <v>437</v>
      </c>
      <c r="D151" s="94" t="s">
        <v>63</v>
      </c>
      <c r="E151" s="53">
        <v>263542</v>
      </c>
      <c r="F151" s="53">
        <v>131771</v>
      </c>
      <c r="G151" s="54">
        <f t="shared" si="10"/>
        <v>0.5</v>
      </c>
      <c r="H151" s="62">
        <v>269710</v>
      </c>
      <c r="I151" s="63">
        <f t="shared" si="11"/>
        <v>184479.4</v>
      </c>
      <c r="J151" s="63">
        <f t="shared" si="12"/>
        <v>215768</v>
      </c>
      <c r="K151" s="172">
        <f t="shared" si="13"/>
        <v>184479</v>
      </c>
      <c r="L151" s="156"/>
      <c r="M151" s="173"/>
      <c r="N151" s="173"/>
      <c r="O151" s="190"/>
      <c r="P151" s="13"/>
    </row>
    <row r="152" spans="1:16" ht="15.75">
      <c r="A152">
        <v>148</v>
      </c>
      <c r="B152" s="60">
        <v>580251296</v>
      </c>
      <c r="C152" s="61" t="s">
        <v>112</v>
      </c>
      <c r="D152" s="65" t="s">
        <v>63</v>
      </c>
      <c r="E152" s="53">
        <f>792843.25+105340</f>
        <v>898183.25</v>
      </c>
      <c r="F152" s="53">
        <f>396422+52670</f>
        <v>449092</v>
      </c>
      <c r="G152" s="54">
        <f t="shared" si="10"/>
        <v>0.5000004175094559</v>
      </c>
      <c r="H152" s="62">
        <f>572951+91964</f>
        <v>664915</v>
      </c>
      <c r="I152" s="63">
        <f t="shared" si="11"/>
        <v>628728.2749999999</v>
      </c>
      <c r="J152" s="63">
        <f t="shared" si="12"/>
        <v>531932</v>
      </c>
      <c r="K152" s="172">
        <f t="shared" si="13"/>
        <v>531932</v>
      </c>
      <c r="L152" s="156"/>
      <c r="M152" s="173"/>
      <c r="N152" s="173"/>
      <c r="O152" s="190"/>
      <c r="P152" s="13"/>
    </row>
    <row r="153" spans="1:16" ht="15.75">
      <c r="A153" s="13">
        <v>149</v>
      </c>
      <c r="B153" s="60">
        <v>580251791</v>
      </c>
      <c r="C153" s="61" t="s">
        <v>338</v>
      </c>
      <c r="D153" s="65" t="s">
        <v>63</v>
      </c>
      <c r="E153" s="53">
        <v>140389.5</v>
      </c>
      <c r="F153" s="53">
        <v>70195</v>
      </c>
      <c r="G153" s="54">
        <f t="shared" si="10"/>
        <v>0.5000017807599572</v>
      </c>
      <c r="H153" s="62">
        <v>190106</v>
      </c>
      <c r="I153" s="63">
        <f t="shared" si="11"/>
        <v>98272.65</v>
      </c>
      <c r="J153" s="63">
        <f t="shared" si="12"/>
        <v>152084.80000000002</v>
      </c>
      <c r="K153" s="172">
        <f t="shared" si="13"/>
        <v>98273</v>
      </c>
      <c r="L153" s="156"/>
      <c r="M153" s="173"/>
      <c r="N153" s="173"/>
      <c r="O153" s="190"/>
      <c r="P153" s="13"/>
    </row>
    <row r="154" spans="1:16" ht="15.75">
      <c r="A154">
        <v>150</v>
      </c>
      <c r="B154" s="85">
        <v>580251957</v>
      </c>
      <c r="C154" s="60" t="s">
        <v>630</v>
      </c>
      <c r="D154" s="61" t="s">
        <v>72</v>
      </c>
      <c r="E154" s="53">
        <v>51473.5</v>
      </c>
      <c r="F154" s="53">
        <v>20589</v>
      </c>
      <c r="G154" s="54">
        <f t="shared" si="10"/>
        <v>0.39999222901104453</v>
      </c>
      <c r="H154" s="62">
        <v>50500</v>
      </c>
      <c r="I154" s="63">
        <f t="shared" si="11"/>
        <v>36031.45</v>
      </c>
      <c r="J154" s="63">
        <f t="shared" si="12"/>
        <v>40400</v>
      </c>
      <c r="K154" s="172">
        <f t="shared" si="13"/>
        <v>36031</v>
      </c>
      <c r="L154" s="156"/>
      <c r="M154" s="173"/>
      <c r="N154" s="173"/>
      <c r="O154" s="190"/>
      <c r="P154" s="13"/>
    </row>
    <row r="155" spans="1:16" ht="15.75">
      <c r="A155" s="13">
        <v>151</v>
      </c>
      <c r="B155" s="60">
        <v>580252740</v>
      </c>
      <c r="C155" s="61" t="s">
        <v>113</v>
      </c>
      <c r="D155" s="65" t="s">
        <v>63</v>
      </c>
      <c r="E155" s="53">
        <v>360621.25</v>
      </c>
      <c r="F155" s="53">
        <v>180311</v>
      </c>
      <c r="G155" s="54">
        <f t="shared" si="10"/>
        <v>0.500001039872165</v>
      </c>
      <c r="H155" s="62">
        <v>300783</v>
      </c>
      <c r="I155" s="63">
        <f t="shared" si="11"/>
        <v>252434.87499999997</v>
      </c>
      <c r="J155" s="63">
        <f t="shared" si="12"/>
        <v>240626.40000000002</v>
      </c>
      <c r="K155" s="172">
        <f t="shared" si="13"/>
        <v>240626</v>
      </c>
      <c r="L155" s="156"/>
      <c r="M155" s="173"/>
      <c r="N155" s="173"/>
      <c r="O155" s="190"/>
      <c r="P155" s="13"/>
    </row>
    <row r="156" spans="1:16" ht="15.75">
      <c r="A156">
        <v>152</v>
      </c>
      <c r="B156" s="60">
        <v>580253375</v>
      </c>
      <c r="C156" s="61" t="s">
        <v>438</v>
      </c>
      <c r="D156" s="65" t="s">
        <v>63</v>
      </c>
      <c r="E156" s="53">
        <v>15063</v>
      </c>
      <c r="F156" s="53">
        <v>7532</v>
      </c>
      <c r="G156" s="54">
        <f t="shared" si="10"/>
        <v>0.500033193918874</v>
      </c>
      <c r="H156" s="62">
        <v>13931</v>
      </c>
      <c r="I156" s="63">
        <f t="shared" si="11"/>
        <v>10544.099999999999</v>
      </c>
      <c r="J156" s="63">
        <f t="shared" si="12"/>
        <v>11144.800000000001</v>
      </c>
      <c r="K156" s="172">
        <f t="shared" si="13"/>
        <v>10544</v>
      </c>
      <c r="L156" s="156"/>
      <c r="M156" s="173"/>
      <c r="N156" s="173"/>
      <c r="O156" s="190"/>
      <c r="P156" s="13"/>
    </row>
    <row r="157" spans="1:16" ht="15.75">
      <c r="A157" s="13">
        <v>153</v>
      </c>
      <c r="B157" s="61">
        <v>580253714</v>
      </c>
      <c r="C157" s="61" t="s">
        <v>114</v>
      </c>
      <c r="D157" s="61" t="s">
        <v>68</v>
      </c>
      <c r="E157" s="53">
        <v>105385</v>
      </c>
      <c r="F157" s="53">
        <v>52693</v>
      </c>
      <c r="G157" s="54">
        <f t="shared" si="10"/>
        <v>0.5000047445082317</v>
      </c>
      <c r="H157" s="62">
        <v>57162</v>
      </c>
      <c r="I157" s="63">
        <f t="shared" si="11"/>
        <v>73769.5</v>
      </c>
      <c r="J157" s="63">
        <f t="shared" si="12"/>
        <v>45729.600000000006</v>
      </c>
      <c r="K157" s="172">
        <f t="shared" si="13"/>
        <v>0</v>
      </c>
      <c r="L157" s="156"/>
      <c r="M157" s="173"/>
      <c r="N157" s="173"/>
      <c r="O157" s="190"/>
      <c r="P157" s="13"/>
    </row>
    <row r="158" spans="1:16" ht="15.75">
      <c r="A158">
        <v>154</v>
      </c>
      <c r="B158" s="60">
        <v>580254019</v>
      </c>
      <c r="C158" s="61" t="s">
        <v>736</v>
      </c>
      <c r="D158" s="65" t="s">
        <v>63</v>
      </c>
      <c r="E158" s="53">
        <v>13654</v>
      </c>
      <c r="F158" s="53">
        <v>6827</v>
      </c>
      <c r="G158" s="54">
        <f t="shared" si="10"/>
        <v>0.5</v>
      </c>
      <c r="H158" s="62">
        <v>33630</v>
      </c>
      <c r="I158" s="63">
        <f t="shared" si="11"/>
        <v>9557.8</v>
      </c>
      <c r="J158" s="63">
        <f t="shared" si="12"/>
        <v>26904</v>
      </c>
      <c r="K158" s="172">
        <f t="shared" si="13"/>
        <v>9558</v>
      </c>
      <c r="L158" s="156"/>
      <c r="M158" s="173"/>
      <c r="N158" s="173"/>
      <c r="O158" s="190"/>
      <c r="P158" s="13"/>
    </row>
    <row r="159" spans="1:16" ht="15.75">
      <c r="A159" s="13">
        <v>155</v>
      </c>
      <c r="B159" s="61">
        <v>580254357</v>
      </c>
      <c r="C159" s="61" t="s">
        <v>115</v>
      </c>
      <c r="D159" s="61" t="s">
        <v>74</v>
      </c>
      <c r="E159" s="53">
        <v>146803</v>
      </c>
      <c r="F159" s="53">
        <v>73402</v>
      </c>
      <c r="G159" s="54">
        <f t="shared" si="10"/>
        <v>0.5000034059249471</v>
      </c>
      <c r="H159" s="62">
        <v>141870</v>
      </c>
      <c r="I159" s="63">
        <f t="shared" si="11"/>
        <v>102762.09999999999</v>
      </c>
      <c r="J159" s="63">
        <f t="shared" si="12"/>
        <v>113496</v>
      </c>
      <c r="K159" s="172">
        <f t="shared" si="13"/>
        <v>102762</v>
      </c>
      <c r="L159" s="156"/>
      <c r="M159" s="173"/>
      <c r="N159" s="173"/>
      <c r="O159" s="190"/>
      <c r="P159" s="13"/>
    </row>
    <row r="160" spans="1:16" ht="15.75">
      <c r="A160">
        <v>156</v>
      </c>
      <c r="B160" s="60">
        <v>580255107</v>
      </c>
      <c r="C160" s="61" t="s">
        <v>264</v>
      </c>
      <c r="D160" s="65" t="s">
        <v>63</v>
      </c>
      <c r="E160" s="53">
        <v>57843.25</v>
      </c>
      <c r="F160" s="53">
        <v>28922</v>
      </c>
      <c r="G160" s="54">
        <f t="shared" si="10"/>
        <v>0.500006483038211</v>
      </c>
      <c r="H160" s="62">
        <v>60690</v>
      </c>
      <c r="I160" s="63">
        <f t="shared" si="11"/>
        <v>40490.274999999994</v>
      </c>
      <c r="J160" s="63">
        <f t="shared" si="12"/>
        <v>48552</v>
      </c>
      <c r="K160" s="172">
        <f t="shared" si="13"/>
        <v>40490</v>
      </c>
      <c r="L160" s="156"/>
      <c r="M160" s="173"/>
      <c r="N160" s="173"/>
      <c r="O160" s="190"/>
      <c r="P160" s="13"/>
    </row>
    <row r="161" spans="1:16" ht="15.75">
      <c r="A161" s="13">
        <v>157</v>
      </c>
      <c r="B161" s="61">
        <v>580255149</v>
      </c>
      <c r="C161" s="61" t="s">
        <v>339</v>
      </c>
      <c r="D161" s="61" t="s">
        <v>68</v>
      </c>
      <c r="E161" s="53">
        <v>10515.25</v>
      </c>
      <c r="F161" s="53">
        <v>4206</v>
      </c>
      <c r="G161" s="54">
        <f t="shared" si="10"/>
        <v>0.3999904900026153</v>
      </c>
      <c r="H161" s="62">
        <v>10578</v>
      </c>
      <c r="I161" s="63">
        <f t="shared" si="11"/>
        <v>7360.674999999999</v>
      </c>
      <c r="J161" s="63">
        <f t="shared" si="12"/>
        <v>8462.4</v>
      </c>
      <c r="K161" s="172">
        <f t="shared" si="13"/>
        <v>7361</v>
      </c>
      <c r="L161" s="156"/>
      <c r="M161" s="173"/>
      <c r="N161" s="173"/>
      <c r="O161" s="190"/>
      <c r="P161" s="13"/>
    </row>
    <row r="162" spans="1:16" ht="15.75">
      <c r="A162">
        <v>158</v>
      </c>
      <c r="B162" s="60">
        <v>580255842</v>
      </c>
      <c r="C162" s="61" t="s">
        <v>116</v>
      </c>
      <c r="D162" s="65" t="s">
        <v>63</v>
      </c>
      <c r="E162" s="53">
        <v>21477.5</v>
      </c>
      <c r="F162" s="53">
        <v>10739</v>
      </c>
      <c r="G162" s="54">
        <f t="shared" si="10"/>
        <v>0.5000116400884647</v>
      </c>
      <c r="H162" s="62">
        <v>16958</v>
      </c>
      <c r="I162" s="63">
        <f t="shared" si="11"/>
        <v>15034.249999999998</v>
      </c>
      <c r="J162" s="63">
        <f t="shared" si="12"/>
        <v>13566.400000000001</v>
      </c>
      <c r="K162" s="172">
        <f t="shared" si="13"/>
        <v>13566</v>
      </c>
      <c r="L162" s="156"/>
      <c r="M162" s="173"/>
      <c r="N162" s="173"/>
      <c r="O162" s="190"/>
      <c r="P162" s="13"/>
    </row>
    <row r="163" spans="1:16" ht="15.75">
      <c r="A163" s="13">
        <v>159</v>
      </c>
      <c r="B163" s="60">
        <v>580258085</v>
      </c>
      <c r="C163" s="61" t="s">
        <v>340</v>
      </c>
      <c r="D163" s="61" t="s">
        <v>60</v>
      </c>
      <c r="E163" s="53">
        <v>93845</v>
      </c>
      <c r="F163" s="53">
        <v>44401</v>
      </c>
      <c r="G163" s="54">
        <f t="shared" si="10"/>
        <v>0.4731312270232831</v>
      </c>
      <c r="H163" s="62">
        <v>80538</v>
      </c>
      <c r="I163" s="63">
        <f t="shared" si="11"/>
        <v>65691.5</v>
      </c>
      <c r="J163" s="63">
        <f t="shared" si="12"/>
        <v>64430.4</v>
      </c>
      <c r="K163" s="172">
        <f t="shared" si="13"/>
        <v>64430</v>
      </c>
      <c r="L163" s="156"/>
      <c r="M163" s="173"/>
      <c r="N163" s="173"/>
      <c r="O163" s="190"/>
      <c r="P163" s="13"/>
    </row>
    <row r="164" spans="1:16" ht="15.75">
      <c r="A164">
        <v>160</v>
      </c>
      <c r="B164" s="61">
        <v>580258119</v>
      </c>
      <c r="C164" s="61" t="s">
        <v>508</v>
      </c>
      <c r="D164" s="61" t="s">
        <v>94</v>
      </c>
      <c r="E164" s="53">
        <v>4640.75</v>
      </c>
      <c r="F164" s="53">
        <v>2320</v>
      </c>
      <c r="G164" s="54">
        <f t="shared" si="10"/>
        <v>0.49991919409578195</v>
      </c>
      <c r="H164" s="62">
        <v>3847</v>
      </c>
      <c r="I164" s="63">
        <f t="shared" si="11"/>
        <v>3248.5249999999996</v>
      </c>
      <c r="J164" s="63">
        <f t="shared" si="12"/>
        <v>3077.6000000000004</v>
      </c>
      <c r="K164" s="172">
        <f t="shared" si="13"/>
        <v>3078</v>
      </c>
      <c r="L164" s="156"/>
      <c r="M164" s="173"/>
      <c r="N164" s="173"/>
      <c r="O164" s="190"/>
      <c r="P164" s="13"/>
    </row>
    <row r="165" spans="1:16" ht="15">
      <c r="A165" s="13">
        <v>161</v>
      </c>
      <c r="B165" s="66">
        <v>580258952</v>
      </c>
      <c r="C165" s="16" t="s">
        <v>117</v>
      </c>
      <c r="D165" s="16" t="s">
        <v>72</v>
      </c>
      <c r="E165" s="53">
        <v>52649.600000000006</v>
      </c>
      <c r="F165" s="53">
        <v>21060</v>
      </c>
      <c r="G165" s="54">
        <f aca="true" t="shared" si="14" ref="G165:G175">F165/E165</f>
        <v>0.4000030389594602</v>
      </c>
      <c r="H165" s="62">
        <v>49487</v>
      </c>
      <c r="I165" s="63">
        <f t="shared" si="11"/>
        <v>36854.72</v>
      </c>
      <c r="J165" s="63">
        <f t="shared" si="12"/>
        <v>39589.600000000006</v>
      </c>
      <c r="K165" s="172">
        <f t="shared" si="13"/>
        <v>36855</v>
      </c>
      <c r="L165" s="156"/>
      <c r="M165" s="173"/>
      <c r="N165" s="173"/>
      <c r="O165" s="190"/>
      <c r="P165" s="13"/>
    </row>
    <row r="166" spans="1:16" ht="15">
      <c r="A166">
        <v>162</v>
      </c>
      <c r="B166" s="90">
        <v>580259075</v>
      </c>
      <c r="C166" s="90" t="s">
        <v>592</v>
      </c>
      <c r="D166" s="90" t="s">
        <v>94</v>
      </c>
      <c r="E166" s="53">
        <v>59911.75</v>
      </c>
      <c r="F166" s="53">
        <v>29956</v>
      </c>
      <c r="G166" s="54">
        <f t="shared" si="14"/>
        <v>0.5000020864020831</v>
      </c>
      <c r="H166" s="62">
        <v>62806</v>
      </c>
      <c r="I166" s="63">
        <f t="shared" si="11"/>
        <v>41938.225</v>
      </c>
      <c r="J166" s="63">
        <f t="shared" si="12"/>
        <v>50244.8</v>
      </c>
      <c r="K166" s="172">
        <f t="shared" si="13"/>
        <v>41938</v>
      </c>
      <c r="L166" s="156"/>
      <c r="M166" s="173"/>
      <c r="N166" s="173"/>
      <c r="O166" s="190"/>
      <c r="P166" s="13"/>
    </row>
    <row r="167" spans="1:16" ht="15.75">
      <c r="A167" s="13">
        <v>163</v>
      </c>
      <c r="B167" s="60">
        <v>580259109</v>
      </c>
      <c r="C167" s="61" t="s">
        <v>691</v>
      </c>
      <c r="D167" s="65" t="s">
        <v>63</v>
      </c>
      <c r="E167" s="53">
        <v>491184.5</v>
      </c>
      <c r="F167" s="53">
        <v>245592</v>
      </c>
      <c r="G167" s="54">
        <f t="shared" si="14"/>
        <v>0.49999949102628444</v>
      </c>
      <c r="H167" s="62">
        <v>511912</v>
      </c>
      <c r="I167" s="63">
        <f t="shared" si="11"/>
        <v>343829.14999999997</v>
      </c>
      <c r="J167" s="63">
        <f t="shared" si="12"/>
        <v>409529.60000000003</v>
      </c>
      <c r="K167" s="172">
        <f t="shared" si="13"/>
        <v>343829</v>
      </c>
      <c r="L167" s="156"/>
      <c r="M167" s="173"/>
      <c r="N167" s="173"/>
      <c r="O167" s="190"/>
      <c r="P167" s="13"/>
    </row>
    <row r="168" spans="1:16" ht="15.75">
      <c r="A168">
        <v>164</v>
      </c>
      <c r="B168" s="60">
        <v>580262251</v>
      </c>
      <c r="C168" s="61" t="s">
        <v>118</v>
      </c>
      <c r="D168" s="61" t="s">
        <v>60</v>
      </c>
      <c r="E168" s="53">
        <v>220107.5</v>
      </c>
      <c r="F168" s="53">
        <v>110054</v>
      </c>
      <c r="G168" s="54">
        <f t="shared" si="14"/>
        <v>0.5000011358086389</v>
      </c>
      <c r="H168" s="62">
        <v>238153</v>
      </c>
      <c r="I168" s="63">
        <f t="shared" si="11"/>
        <v>154075.25</v>
      </c>
      <c r="J168" s="63">
        <f t="shared" si="12"/>
        <v>190522.40000000002</v>
      </c>
      <c r="K168" s="172">
        <f t="shared" si="13"/>
        <v>154075</v>
      </c>
      <c r="L168" s="156"/>
      <c r="M168" s="173"/>
      <c r="N168" s="173"/>
      <c r="O168" s="190"/>
      <c r="P168" s="13"/>
    </row>
    <row r="169" spans="1:16" ht="15.75">
      <c r="A169" s="13">
        <v>165</v>
      </c>
      <c r="B169" s="101">
        <v>580262582</v>
      </c>
      <c r="C169" s="103" t="s">
        <v>660</v>
      </c>
      <c r="D169" s="103" t="s">
        <v>68</v>
      </c>
      <c r="E169" s="53">
        <v>46061.5</v>
      </c>
      <c r="F169" s="53">
        <v>23031</v>
      </c>
      <c r="G169" s="54">
        <f t="shared" si="14"/>
        <v>0.5000054275262421</v>
      </c>
      <c r="H169" s="62">
        <v>39405</v>
      </c>
      <c r="I169" s="63">
        <f t="shared" si="11"/>
        <v>32243.05</v>
      </c>
      <c r="J169" s="63">
        <f t="shared" si="12"/>
        <v>31524</v>
      </c>
      <c r="K169" s="172">
        <f t="shared" si="13"/>
        <v>31524</v>
      </c>
      <c r="L169" s="156"/>
      <c r="M169" s="173"/>
      <c r="N169" s="173"/>
      <c r="O169" s="190"/>
      <c r="P169" s="13"/>
    </row>
    <row r="170" spans="1:16" ht="15">
      <c r="A170">
        <v>166</v>
      </c>
      <c r="B170" s="66">
        <v>580264851</v>
      </c>
      <c r="C170" s="16" t="s">
        <v>119</v>
      </c>
      <c r="D170" s="16" t="s">
        <v>72</v>
      </c>
      <c r="E170" s="53">
        <v>38055</v>
      </c>
      <c r="F170" s="53">
        <v>19028</v>
      </c>
      <c r="G170" s="54">
        <f t="shared" si="14"/>
        <v>0.5000131388779399</v>
      </c>
      <c r="H170" s="62">
        <v>56378</v>
      </c>
      <c r="I170" s="63">
        <f t="shared" si="11"/>
        <v>26638.5</v>
      </c>
      <c r="J170" s="63">
        <f t="shared" si="12"/>
        <v>45102.4</v>
      </c>
      <c r="K170" s="172">
        <f t="shared" si="13"/>
        <v>26639</v>
      </c>
      <c r="L170" s="156"/>
      <c r="M170" s="173"/>
      <c r="N170" s="173"/>
      <c r="O170" s="190"/>
      <c r="P170" s="13"/>
    </row>
    <row r="171" spans="1:16" ht="15.75">
      <c r="A171" s="13">
        <v>167</v>
      </c>
      <c r="B171" s="60">
        <v>580270544</v>
      </c>
      <c r="C171" s="61" t="s">
        <v>509</v>
      </c>
      <c r="D171" s="61" t="s">
        <v>72</v>
      </c>
      <c r="E171" s="53">
        <v>20224</v>
      </c>
      <c r="F171" s="53">
        <v>8750</v>
      </c>
      <c r="G171" s="54">
        <f t="shared" si="14"/>
        <v>0.4326542721518987</v>
      </c>
      <c r="H171" s="62">
        <v>9868</v>
      </c>
      <c r="I171" s="63">
        <f t="shared" si="11"/>
        <v>14156.8</v>
      </c>
      <c r="J171" s="63">
        <f t="shared" si="12"/>
        <v>7894.400000000001</v>
      </c>
      <c r="K171" s="172">
        <f t="shared" si="13"/>
        <v>0</v>
      </c>
      <c r="L171" s="156"/>
      <c r="M171" s="173"/>
      <c r="N171" s="173"/>
      <c r="O171" s="190"/>
      <c r="P171" s="13"/>
    </row>
    <row r="172" spans="1:16" ht="15.75">
      <c r="A172">
        <v>168</v>
      </c>
      <c r="B172" s="60">
        <v>580272128</v>
      </c>
      <c r="C172" s="60" t="s">
        <v>631</v>
      </c>
      <c r="D172" s="61" t="s">
        <v>63</v>
      </c>
      <c r="E172" s="53">
        <v>13540.75</v>
      </c>
      <c r="F172" s="53">
        <v>5416</v>
      </c>
      <c r="G172" s="54">
        <f t="shared" si="14"/>
        <v>0.39997784465409963</v>
      </c>
      <c r="H172" s="62">
        <v>16120</v>
      </c>
      <c r="I172" s="63">
        <f t="shared" si="11"/>
        <v>9478.525</v>
      </c>
      <c r="J172" s="63">
        <f t="shared" si="12"/>
        <v>12896</v>
      </c>
      <c r="K172" s="172">
        <f t="shared" si="13"/>
        <v>9479</v>
      </c>
      <c r="L172" s="156"/>
      <c r="M172" s="173"/>
      <c r="N172" s="173"/>
      <c r="O172" s="190"/>
      <c r="P172" s="13"/>
    </row>
    <row r="173" spans="1:16" ht="15.75">
      <c r="A173" s="13">
        <v>169</v>
      </c>
      <c r="B173" s="61">
        <v>580272177</v>
      </c>
      <c r="C173" s="61" t="s">
        <v>265</v>
      </c>
      <c r="D173" s="61" t="s">
        <v>68</v>
      </c>
      <c r="E173" s="53">
        <v>72666.5</v>
      </c>
      <c r="F173" s="53">
        <v>36333</v>
      </c>
      <c r="G173" s="54">
        <f t="shared" si="14"/>
        <v>0.4999965596251367</v>
      </c>
      <c r="H173" s="62">
        <v>63780</v>
      </c>
      <c r="I173" s="63">
        <f t="shared" si="11"/>
        <v>50866.549999999996</v>
      </c>
      <c r="J173" s="63">
        <f t="shared" si="12"/>
        <v>51024</v>
      </c>
      <c r="K173" s="172">
        <f t="shared" si="13"/>
        <v>50867</v>
      </c>
      <c r="L173" s="156"/>
      <c r="M173" s="173"/>
      <c r="N173" s="173"/>
      <c r="O173" s="190"/>
      <c r="P173" s="13"/>
    </row>
    <row r="174" spans="1:16" ht="15">
      <c r="A174">
        <v>170</v>
      </c>
      <c r="B174" s="90">
        <v>580273696</v>
      </c>
      <c r="C174" s="90" t="s">
        <v>341</v>
      </c>
      <c r="D174" s="90" t="s">
        <v>94</v>
      </c>
      <c r="E174" s="53">
        <v>111314.25</v>
      </c>
      <c r="F174" s="53">
        <v>55657</v>
      </c>
      <c r="G174" s="54">
        <f t="shared" si="14"/>
        <v>0.4999988770530278</v>
      </c>
      <c r="H174" s="62">
        <v>159033</v>
      </c>
      <c r="I174" s="63">
        <f t="shared" si="11"/>
        <v>77919.97499999999</v>
      </c>
      <c r="J174" s="63">
        <f t="shared" si="12"/>
        <v>127226.40000000001</v>
      </c>
      <c r="K174" s="172">
        <f t="shared" si="13"/>
        <v>77920</v>
      </c>
      <c r="L174" s="156"/>
      <c r="M174" s="173"/>
      <c r="N174" s="173"/>
      <c r="O174" s="190"/>
      <c r="P174" s="13"/>
    </row>
    <row r="175" spans="1:16" ht="15.75">
      <c r="A175" s="13">
        <v>171</v>
      </c>
      <c r="B175" s="60">
        <v>580274173</v>
      </c>
      <c r="C175" s="61" t="s">
        <v>120</v>
      </c>
      <c r="D175" s="61" t="s">
        <v>60</v>
      </c>
      <c r="E175" s="53">
        <v>790672</v>
      </c>
      <c r="F175" s="53">
        <v>395336</v>
      </c>
      <c r="G175" s="54">
        <f t="shared" si="14"/>
        <v>0.5</v>
      </c>
      <c r="H175" s="62">
        <v>1187630</v>
      </c>
      <c r="I175" s="63">
        <f t="shared" si="11"/>
        <v>553470.3999999999</v>
      </c>
      <c r="J175" s="63">
        <f t="shared" si="12"/>
        <v>950104</v>
      </c>
      <c r="K175" s="172">
        <f t="shared" si="13"/>
        <v>553470</v>
      </c>
      <c r="L175" s="156"/>
      <c r="M175" s="173"/>
      <c r="N175" s="173"/>
      <c r="O175" s="190"/>
      <c r="P175" s="13"/>
    </row>
    <row r="176" spans="1:16" ht="15.75">
      <c r="A176">
        <v>733</v>
      </c>
      <c r="B176" s="175">
        <v>580274173</v>
      </c>
      <c r="C176" s="178" t="s">
        <v>819</v>
      </c>
      <c r="D176" s="1"/>
      <c r="E176" s="182"/>
      <c r="F176" s="182">
        <v>0</v>
      </c>
      <c r="G176" s="185">
        <f>_xlfn.IFERROR(F176/E176,"")</f>
      </c>
      <c r="H176" s="182">
        <v>317789</v>
      </c>
      <c r="I176" s="63">
        <f t="shared" si="11"/>
        <v>0</v>
      </c>
      <c r="J176" s="63">
        <f t="shared" si="12"/>
        <v>254231.2</v>
      </c>
      <c r="K176" s="189">
        <f t="shared" si="13"/>
        <v>0</v>
      </c>
      <c r="L176" s="156"/>
      <c r="M176" s="173"/>
      <c r="N176" s="173"/>
      <c r="O176" s="190"/>
      <c r="P176" s="13"/>
    </row>
    <row r="177" spans="1:16" ht="15.75">
      <c r="A177">
        <v>172</v>
      </c>
      <c r="B177" s="60">
        <v>580275675</v>
      </c>
      <c r="C177" s="60" t="s">
        <v>632</v>
      </c>
      <c r="D177" s="61" t="s">
        <v>63</v>
      </c>
      <c r="E177" s="53">
        <v>14655</v>
      </c>
      <c r="F177" s="53">
        <v>7328</v>
      </c>
      <c r="G177" s="54">
        <f aca="true" t="shared" si="15" ref="G177:G240">F177/E177</f>
        <v>0.5000341180484477</v>
      </c>
      <c r="H177" s="62">
        <v>8239</v>
      </c>
      <c r="I177" s="63">
        <f t="shared" si="11"/>
        <v>10258.5</v>
      </c>
      <c r="J177" s="63">
        <f t="shared" si="12"/>
        <v>6591.200000000001</v>
      </c>
      <c r="K177" s="172">
        <f t="shared" si="13"/>
        <v>0</v>
      </c>
      <c r="L177" s="156"/>
      <c r="M177" s="173"/>
      <c r="N177" s="173"/>
      <c r="O177" s="190"/>
      <c r="P177" s="13"/>
    </row>
    <row r="178" spans="1:16" ht="15.75">
      <c r="A178" s="13">
        <v>173</v>
      </c>
      <c r="B178" s="60">
        <v>580278315</v>
      </c>
      <c r="C178" s="61" t="s">
        <v>342</v>
      </c>
      <c r="D178" s="65" t="s">
        <v>63</v>
      </c>
      <c r="E178" s="53">
        <v>54632</v>
      </c>
      <c r="F178" s="53">
        <v>27316</v>
      </c>
      <c r="G178" s="54">
        <f t="shared" si="15"/>
        <v>0.5</v>
      </c>
      <c r="H178" s="62">
        <v>45439</v>
      </c>
      <c r="I178" s="63">
        <f t="shared" si="11"/>
        <v>38242.399999999994</v>
      </c>
      <c r="J178" s="63">
        <f t="shared" si="12"/>
        <v>36351.200000000004</v>
      </c>
      <c r="K178" s="172">
        <f t="shared" si="13"/>
        <v>36351</v>
      </c>
      <c r="L178" s="156"/>
      <c r="M178" s="173"/>
      <c r="N178" s="173"/>
      <c r="O178" s="190"/>
      <c r="P178" s="13"/>
    </row>
    <row r="179" spans="1:16" ht="15.75">
      <c r="A179">
        <v>174</v>
      </c>
      <c r="B179" s="60">
        <v>580278463</v>
      </c>
      <c r="C179" s="61" t="s">
        <v>121</v>
      </c>
      <c r="D179" s="65" t="s">
        <v>63</v>
      </c>
      <c r="E179" s="53">
        <v>581689.25</v>
      </c>
      <c r="F179" s="53">
        <v>290845</v>
      </c>
      <c r="G179" s="54">
        <f t="shared" si="15"/>
        <v>0.5000006446741108</v>
      </c>
      <c r="H179" s="62">
        <v>637858</v>
      </c>
      <c r="I179" s="63">
        <f t="shared" si="11"/>
        <v>407182.475</v>
      </c>
      <c r="J179" s="63">
        <f t="shared" si="12"/>
        <v>510286.4</v>
      </c>
      <c r="K179" s="172">
        <f t="shared" si="13"/>
        <v>407182</v>
      </c>
      <c r="L179" s="156"/>
      <c r="M179" s="173"/>
      <c r="N179" s="173"/>
      <c r="O179" s="190"/>
      <c r="P179" s="13"/>
    </row>
    <row r="180" spans="1:16" ht="15">
      <c r="A180" s="13">
        <v>175</v>
      </c>
      <c r="B180" s="70">
        <v>580279388</v>
      </c>
      <c r="C180" s="65" t="s">
        <v>122</v>
      </c>
      <c r="D180" s="65" t="s">
        <v>63</v>
      </c>
      <c r="E180" s="53">
        <v>78394</v>
      </c>
      <c r="F180" s="53">
        <v>39197</v>
      </c>
      <c r="G180" s="54">
        <f t="shared" si="15"/>
        <v>0.5</v>
      </c>
      <c r="H180" s="62">
        <v>71714</v>
      </c>
      <c r="I180" s="63">
        <f t="shared" si="11"/>
        <v>54875.799999999996</v>
      </c>
      <c r="J180" s="63">
        <f t="shared" si="12"/>
        <v>57371.200000000004</v>
      </c>
      <c r="K180" s="172">
        <f t="shared" si="13"/>
        <v>54876</v>
      </c>
      <c r="L180" s="156"/>
      <c r="M180" s="173"/>
      <c r="N180" s="173"/>
      <c r="O180" s="190"/>
      <c r="P180" s="13"/>
    </row>
    <row r="181" spans="1:16" ht="15.75">
      <c r="A181">
        <v>176</v>
      </c>
      <c r="B181" s="60">
        <v>580280204</v>
      </c>
      <c r="C181" s="61" t="s">
        <v>439</v>
      </c>
      <c r="D181" s="61" t="s">
        <v>60</v>
      </c>
      <c r="E181" s="53">
        <v>278803</v>
      </c>
      <c r="F181" s="53">
        <v>139401</v>
      </c>
      <c r="G181" s="54">
        <f t="shared" si="15"/>
        <v>0.49999820661901057</v>
      </c>
      <c r="H181" s="62">
        <v>232339</v>
      </c>
      <c r="I181" s="63">
        <f t="shared" si="11"/>
        <v>195162.09999999998</v>
      </c>
      <c r="J181" s="63">
        <f t="shared" si="12"/>
        <v>185871.2</v>
      </c>
      <c r="K181" s="172">
        <f t="shared" si="13"/>
        <v>185871</v>
      </c>
      <c r="L181" s="156"/>
      <c r="M181" s="173"/>
      <c r="N181" s="173"/>
      <c r="O181" s="190"/>
      <c r="P181" s="13"/>
    </row>
    <row r="182" spans="1:16" ht="15.75">
      <c r="A182" s="13">
        <v>177</v>
      </c>
      <c r="B182" s="60">
        <v>580280899</v>
      </c>
      <c r="C182" s="61" t="s">
        <v>124</v>
      </c>
      <c r="D182" s="65" t="s">
        <v>63</v>
      </c>
      <c r="E182" s="53">
        <v>15679.25</v>
      </c>
      <c r="F182" s="53">
        <v>7840</v>
      </c>
      <c r="G182" s="54">
        <f t="shared" si="15"/>
        <v>0.5000239169603138</v>
      </c>
      <c r="H182" s="62">
        <v>13922</v>
      </c>
      <c r="I182" s="63">
        <f t="shared" si="11"/>
        <v>10975.474999999999</v>
      </c>
      <c r="J182" s="63">
        <f t="shared" si="12"/>
        <v>11137.6</v>
      </c>
      <c r="K182" s="172">
        <f t="shared" si="13"/>
        <v>10975</v>
      </c>
      <c r="L182" s="156"/>
      <c r="M182" s="173"/>
      <c r="N182" s="173"/>
      <c r="O182" s="190"/>
      <c r="P182" s="13"/>
    </row>
    <row r="183" spans="1:16" ht="15.75">
      <c r="A183">
        <v>178</v>
      </c>
      <c r="B183" s="108">
        <v>580281863</v>
      </c>
      <c r="C183" s="61" t="s">
        <v>754</v>
      </c>
      <c r="D183" s="61" t="s">
        <v>94</v>
      </c>
      <c r="E183" s="53">
        <v>29780</v>
      </c>
      <c r="F183" s="53">
        <v>14890</v>
      </c>
      <c r="G183" s="54">
        <f t="shared" si="15"/>
        <v>0.5</v>
      </c>
      <c r="H183" s="77" t="e">
        <v>#N/A</v>
      </c>
      <c r="I183" s="63">
        <f t="shared" si="11"/>
        <v>20846</v>
      </c>
      <c r="J183" s="63" t="e">
        <f t="shared" si="12"/>
        <v>#N/A</v>
      </c>
      <c r="K183" s="172" t="e">
        <f t="shared" si="13"/>
        <v>#N/A</v>
      </c>
      <c r="L183" s="156"/>
      <c r="M183" s="173"/>
      <c r="N183" s="173"/>
      <c r="O183" s="190"/>
      <c r="P183" s="13"/>
    </row>
    <row r="184" spans="1:16" ht="15.75">
      <c r="A184" s="13">
        <v>179</v>
      </c>
      <c r="B184" s="75">
        <v>580283323</v>
      </c>
      <c r="C184" s="67" t="s">
        <v>125</v>
      </c>
      <c r="D184" s="76" t="s">
        <v>63</v>
      </c>
      <c r="E184" s="53">
        <v>124099</v>
      </c>
      <c r="F184" s="53">
        <v>52806</v>
      </c>
      <c r="G184" s="54">
        <f t="shared" si="15"/>
        <v>0.4255151129340285</v>
      </c>
      <c r="H184" s="62">
        <v>101044</v>
      </c>
      <c r="I184" s="63">
        <f t="shared" si="11"/>
        <v>86869.29999999999</v>
      </c>
      <c r="J184" s="63">
        <f t="shared" si="12"/>
        <v>80835.20000000001</v>
      </c>
      <c r="K184" s="172">
        <f t="shared" si="13"/>
        <v>80835</v>
      </c>
      <c r="L184" s="156"/>
      <c r="M184" s="173"/>
      <c r="N184" s="173"/>
      <c r="O184" s="190"/>
      <c r="P184" s="13"/>
    </row>
    <row r="185" spans="1:16" ht="15.75">
      <c r="A185">
        <v>180</v>
      </c>
      <c r="B185" s="60">
        <v>580283950</v>
      </c>
      <c r="C185" s="61" t="s">
        <v>126</v>
      </c>
      <c r="D185" s="61" t="s">
        <v>60</v>
      </c>
      <c r="E185" s="53">
        <v>47287</v>
      </c>
      <c r="F185" s="53">
        <v>23644</v>
      </c>
      <c r="G185" s="54">
        <f t="shared" si="15"/>
        <v>0.5000105737306236</v>
      </c>
      <c r="H185" s="62">
        <v>104392</v>
      </c>
      <c r="I185" s="63">
        <f t="shared" si="11"/>
        <v>33100.9</v>
      </c>
      <c r="J185" s="63">
        <f t="shared" si="12"/>
        <v>83513.6</v>
      </c>
      <c r="K185" s="172">
        <f t="shared" si="13"/>
        <v>33101</v>
      </c>
      <c r="L185" s="156"/>
      <c r="M185" s="173"/>
      <c r="N185" s="173"/>
      <c r="O185" s="190"/>
      <c r="P185" s="13"/>
    </row>
    <row r="186" spans="1:16" ht="15.75">
      <c r="A186" s="13">
        <v>181</v>
      </c>
      <c r="B186" s="60">
        <v>580284719</v>
      </c>
      <c r="C186" s="61" t="s">
        <v>266</v>
      </c>
      <c r="D186" s="65" t="s">
        <v>63</v>
      </c>
      <c r="E186" s="53">
        <v>77756.25</v>
      </c>
      <c r="F186" s="53">
        <v>38878</v>
      </c>
      <c r="G186" s="54">
        <f t="shared" si="15"/>
        <v>0.4999983924121855</v>
      </c>
      <c r="H186" s="62">
        <v>56684</v>
      </c>
      <c r="I186" s="63">
        <f t="shared" si="11"/>
        <v>54429.375</v>
      </c>
      <c r="J186" s="63">
        <f t="shared" si="12"/>
        <v>45347.200000000004</v>
      </c>
      <c r="K186" s="172">
        <f t="shared" si="13"/>
        <v>45347</v>
      </c>
      <c r="L186" s="156"/>
      <c r="M186" s="173"/>
      <c r="N186" s="173"/>
      <c r="O186" s="190"/>
      <c r="P186" s="13"/>
    </row>
    <row r="187" spans="1:16" ht="15.75">
      <c r="A187">
        <v>182</v>
      </c>
      <c r="B187" s="60">
        <v>580284933</v>
      </c>
      <c r="C187" s="61" t="s">
        <v>343</v>
      </c>
      <c r="D187" s="65" t="s">
        <v>63</v>
      </c>
      <c r="E187" s="53">
        <v>90823</v>
      </c>
      <c r="F187" s="53">
        <v>40849</v>
      </c>
      <c r="G187" s="54">
        <f t="shared" si="15"/>
        <v>0.44976492738623475</v>
      </c>
      <c r="H187" s="62">
        <v>175083</v>
      </c>
      <c r="I187" s="63">
        <f t="shared" si="11"/>
        <v>63576.1</v>
      </c>
      <c r="J187" s="63">
        <f t="shared" si="12"/>
        <v>140066.4</v>
      </c>
      <c r="K187" s="172">
        <f t="shared" si="13"/>
        <v>63576</v>
      </c>
      <c r="L187" s="156"/>
      <c r="M187" s="173"/>
      <c r="N187" s="173"/>
      <c r="O187" s="190"/>
      <c r="P187" s="13"/>
    </row>
    <row r="188" spans="1:16" ht="15">
      <c r="A188" s="13">
        <v>183</v>
      </c>
      <c r="B188" s="66">
        <v>580288405</v>
      </c>
      <c r="C188" s="16" t="s">
        <v>127</v>
      </c>
      <c r="D188" s="16" t="s">
        <v>72</v>
      </c>
      <c r="E188" s="53">
        <v>12227.25</v>
      </c>
      <c r="F188" s="53">
        <v>6114</v>
      </c>
      <c r="G188" s="54">
        <f t="shared" si="15"/>
        <v>0.5000306692019874</v>
      </c>
      <c r="H188" s="77" t="e">
        <v>#N/A</v>
      </c>
      <c r="I188" s="63">
        <f t="shared" si="11"/>
        <v>8559.074999999999</v>
      </c>
      <c r="J188" s="63" t="e">
        <f t="shared" si="12"/>
        <v>#N/A</v>
      </c>
      <c r="K188" s="172" t="e">
        <f t="shared" si="13"/>
        <v>#N/A</v>
      </c>
      <c r="L188" s="156"/>
      <c r="M188" s="173"/>
      <c r="N188" s="173"/>
      <c r="O188" s="190"/>
      <c r="P188" s="13"/>
    </row>
    <row r="189" spans="1:16" ht="15.75">
      <c r="A189">
        <v>184</v>
      </c>
      <c r="B189" s="60">
        <v>580290112</v>
      </c>
      <c r="C189" s="61" t="s">
        <v>128</v>
      </c>
      <c r="D189" s="65" t="s">
        <v>63</v>
      </c>
      <c r="E189" s="53">
        <v>121975.25</v>
      </c>
      <c r="F189" s="53">
        <v>60988</v>
      </c>
      <c r="G189" s="54">
        <f t="shared" si="15"/>
        <v>0.5000030743941907</v>
      </c>
      <c r="H189" s="62">
        <v>163397</v>
      </c>
      <c r="I189" s="63">
        <f t="shared" si="11"/>
        <v>85382.67499999999</v>
      </c>
      <c r="J189" s="63">
        <f t="shared" si="12"/>
        <v>130717.6</v>
      </c>
      <c r="K189" s="172">
        <f t="shared" si="13"/>
        <v>85383</v>
      </c>
      <c r="L189" s="156"/>
      <c r="M189" s="173"/>
      <c r="N189" s="173"/>
      <c r="O189" s="190"/>
      <c r="P189" s="13"/>
    </row>
    <row r="190" spans="1:16" ht="15">
      <c r="A190" s="13">
        <v>185</v>
      </c>
      <c r="B190" s="66">
        <v>580291730</v>
      </c>
      <c r="C190" s="16" t="s">
        <v>129</v>
      </c>
      <c r="D190" s="16" t="s">
        <v>72</v>
      </c>
      <c r="E190" s="53">
        <v>51784</v>
      </c>
      <c r="F190" s="53">
        <v>20714</v>
      </c>
      <c r="G190" s="54">
        <f t="shared" si="15"/>
        <v>0.4000077243936351</v>
      </c>
      <c r="H190" s="62">
        <v>31068</v>
      </c>
      <c r="I190" s="63">
        <f t="shared" si="11"/>
        <v>36248.799999999996</v>
      </c>
      <c r="J190" s="63">
        <f t="shared" si="12"/>
        <v>24854.4</v>
      </c>
      <c r="K190" s="172">
        <f t="shared" si="13"/>
        <v>24854</v>
      </c>
      <c r="L190" s="156"/>
      <c r="M190" s="173"/>
      <c r="N190" s="173"/>
      <c r="O190" s="190"/>
      <c r="P190" s="13"/>
    </row>
    <row r="191" spans="1:16" ht="15">
      <c r="A191">
        <v>186</v>
      </c>
      <c r="B191" s="16">
        <v>580292134</v>
      </c>
      <c r="C191" s="16" t="s">
        <v>130</v>
      </c>
      <c r="D191" s="16" t="s">
        <v>94</v>
      </c>
      <c r="E191" s="53">
        <v>201818.25</v>
      </c>
      <c r="F191" s="53">
        <v>100909</v>
      </c>
      <c r="G191" s="54">
        <f t="shared" si="15"/>
        <v>0.4999993806308399</v>
      </c>
      <c r="H191" s="62">
        <v>236891</v>
      </c>
      <c r="I191" s="63">
        <f t="shared" si="11"/>
        <v>141272.775</v>
      </c>
      <c r="J191" s="63">
        <f t="shared" si="12"/>
        <v>189512.80000000002</v>
      </c>
      <c r="K191" s="172">
        <f t="shared" si="13"/>
        <v>141273</v>
      </c>
      <c r="L191" s="156"/>
      <c r="M191" s="173"/>
      <c r="N191" s="173"/>
      <c r="O191" s="190"/>
      <c r="P191" s="13"/>
    </row>
    <row r="192" spans="1:16" ht="15.75">
      <c r="A192" s="13">
        <v>187</v>
      </c>
      <c r="B192" s="60">
        <v>580294247</v>
      </c>
      <c r="C192" s="61" t="s">
        <v>267</v>
      </c>
      <c r="D192" s="65" t="s">
        <v>63</v>
      </c>
      <c r="E192" s="53">
        <v>110779.25</v>
      </c>
      <c r="F192" s="53">
        <v>55390</v>
      </c>
      <c r="G192" s="54">
        <f t="shared" si="15"/>
        <v>0.5000033851104787</v>
      </c>
      <c r="H192" s="62">
        <v>160080</v>
      </c>
      <c r="I192" s="63">
        <f t="shared" si="11"/>
        <v>77545.47499999999</v>
      </c>
      <c r="J192" s="63">
        <f t="shared" si="12"/>
        <v>128064</v>
      </c>
      <c r="K192" s="172">
        <f t="shared" si="13"/>
        <v>77545</v>
      </c>
      <c r="L192" s="156"/>
      <c r="M192" s="173"/>
      <c r="N192" s="173"/>
      <c r="O192" s="190"/>
      <c r="P192" s="13"/>
    </row>
    <row r="193" spans="1:16" ht="15.75">
      <c r="A193">
        <v>188</v>
      </c>
      <c r="B193" s="101">
        <v>580295129</v>
      </c>
      <c r="C193" s="103" t="s">
        <v>661</v>
      </c>
      <c r="D193" s="103" t="s">
        <v>60</v>
      </c>
      <c r="E193" s="53">
        <v>77928.75</v>
      </c>
      <c r="F193" s="53">
        <v>38964</v>
      </c>
      <c r="G193" s="54">
        <f t="shared" si="15"/>
        <v>0.499995187912035</v>
      </c>
      <c r="H193" s="62">
        <v>81698</v>
      </c>
      <c r="I193" s="63">
        <f t="shared" si="11"/>
        <v>54550.125</v>
      </c>
      <c r="J193" s="63">
        <f t="shared" si="12"/>
        <v>65358.4</v>
      </c>
      <c r="K193" s="172">
        <f t="shared" si="13"/>
        <v>54550</v>
      </c>
      <c r="L193" s="156"/>
      <c r="M193" s="173"/>
      <c r="N193" s="173"/>
      <c r="O193" s="190"/>
      <c r="P193" s="13"/>
    </row>
    <row r="194" spans="1:16" ht="15.75">
      <c r="A194" s="13">
        <v>189</v>
      </c>
      <c r="B194" s="60">
        <v>580295251</v>
      </c>
      <c r="C194" s="61" t="s">
        <v>440</v>
      </c>
      <c r="D194" s="65" t="s">
        <v>63</v>
      </c>
      <c r="E194" s="53">
        <v>86467</v>
      </c>
      <c r="F194" s="53">
        <v>43234</v>
      </c>
      <c r="G194" s="54">
        <f t="shared" si="15"/>
        <v>0.5000057825528814</v>
      </c>
      <c r="H194" s="62">
        <v>90645</v>
      </c>
      <c r="I194" s="63">
        <f t="shared" si="11"/>
        <v>60526.899999999994</v>
      </c>
      <c r="J194" s="63">
        <f t="shared" si="12"/>
        <v>72516</v>
      </c>
      <c r="K194" s="172">
        <f t="shared" si="13"/>
        <v>60527</v>
      </c>
      <c r="L194" s="156"/>
      <c r="M194" s="173"/>
      <c r="N194" s="173"/>
      <c r="O194" s="190"/>
      <c r="P194" s="13"/>
    </row>
    <row r="195" spans="1:16" ht="15.75">
      <c r="A195">
        <v>190</v>
      </c>
      <c r="B195" s="60">
        <v>580295731</v>
      </c>
      <c r="C195" s="61" t="s">
        <v>131</v>
      </c>
      <c r="D195" s="65" t="s">
        <v>63</v>
      </c>
      <c r="E195" s="53">
        <f>298269.5+70227</f>
        <v>368496.5</v>
      </c>
      <c r="F195" s="53">
        <f>149135+35113</f>
        <v>184248</v>
      </c>
      <c r="G195" s="54">
        <f t="shared" si="15"/>
        <v>0.4999993215675047</v>
      </c>
      <c r="H195" s="62">
        <f>257282+67291</f>
        <v>324573</v>
      </c>
      <c r="I195" s="63">
        <f t="shared" si="11"/>
        <v>257947.55</v>
      </c>
      <c r="J195" s="63">
        <f t="shared" si="12"/>
        <v>259658.40000000002</v>
      </c>
      <c r="K195" s="172">
        <f t="shared" si="13"/>
        <v>257948</v>
      </c>
      <c r="L195" s="156"/>
      <c r="M195" s="173"/>
      <c r="N195" s="173"/>
      <c r="O195" s="190"/>
      <c r="P195" s="13"/>
    </row>
    <row r="196" spans="1:16" ht="15.75">
      <c r="A196" s="13">
        <v>191</v>
      </c>
      <c r="B196" s="60">
        <v>580297638</v>
      </c>
      <c r="C196" s="61" t="s">
        <v>132</v>
      </c>
      <c r="D196" s="65" t="s">
        <v>63</v>
      </c>
      <c r="E196" s="53">
        <v>49078.5</v>
      </c>
      <c r="F196" s="53">
        <v>24539</v>
      </c>
      <c r="G196" s="54">
        <f t="shared" si="15"/>
        <v>0.4999949061197877</v>
      </c>
      <c r="H196" s="62">
        <v>49136</v>
      </c>
      <c r="I196" s="63">
        <f t="shared" si="11"/>
        <v>34354.95</v>
      </c>
      <c r="J196" s="63">
        <f t="shared" si="12"/>
        <v>39308.8</v>
      </c>
      <c r="K196" s="172">
        <f t="shared" si="13"/>
        <v>34355</v>
      </c>
      <c r="L196" s="156"/>
      <c r="M196" s="173"/>
      <c r="N196" s="173"/>
      <c r="O196" s="190"/>
      <c r="P196" s="13"/>
    </row>
    <row r="197" spans="1:16" ht="15.75">
      <c r="A197">
        <v>192</v>
      </c>
      <c r="B197" s="60">
        <v>580297984</v>
      </c>
      <c r="C197" s="78" t="s">
        <v>344</v>
      </c>
      <c r="D197" s="65" t="s">
        <v>63</v>
      </c>
      <c r="E197" s="53">
        <v>228877.25</v>
      </c>
      <c r="F197" s="53">
        <v>114439</v>
      </c>
      <c r="G197" s="54">
        <f t="shared" si="15"/>
        <v>0.5000016384328281</v>
      </c>
      <c r="H197" s="62">
        <v>230161</v>
      </c>
      <c r="I197" s="63">
        <f aca="true" t="shared" si="16" ref="I197:I260">E197*$I$2</f>
        <v>160214.07499999998</v>
      </c>
      <c r="J197" s="63">
        <f aca="true" t="shared" si="17" ref="J197:J260">H197*$J$2</f>
        <v>184128.80000000002</v>
      </c>
      <c r="K197" s="172">
        <f aca="true" t="shared" si="18" ref="K197:K260">ROUND(IF(IF(MIN(I197,J197)&lt;F197,MIN(I197,J197)-F197,MIN(I197,J197))&lt;0,0,IF(MIN(I197,J197)&lt;F197,MIN(I197,J197)-F197,MIN(I197,J197))),0)</f>
        <v>160214</v>
      </c>
      <c r="L197" s="156"/>
      <c r="M197" s="173"/>
      <c r="N197" s="173"/>
      <c r="O197" s="190"/>
      <c r="P197" s="13"/>
    </row>
    <row r="198" spans="1:16" ht="15.75">
      <c r="A198" s="13">
        <v>193</v>
      </c>
      <c r="B198" s="60">
        <v>580299485</v>
      </c>
      <c r="C198" s="78" t="s">
        <v>133</v>
      </c>
      <c r="D198" s="65" t="s">
        <v>63</v>
      </c>
      <c r="E198" s="53">
        <v>91828.75</v>
      </c>
      <c r="F198" s="53">
        <v>45914</v>
      </c>
      <c r="G198" s="54">
        <f t="shared" si="15"/>
        <v>0.49999591631161266</v>
      </c>
      <c r="H198" s="62">
        <v>165903</v>
      </c>
      <c r="I198" s="63">
        <f t="shared" si="16"/>
        <v>64280.12499999999</v>
      </c>
      <c r="J198" s="63">
        <f t="shared" si="17"/>
        <v>132722.4</v>
      </c>
      <c r="K198" s="172">
        <f t="shared" si="18"/>
        <v>64280</v>
      </c>
      <c r="L198" s="156"/>
      <c r="M198" s="173"/>
      <c r="N198" s="173"/>
      <c r="O198" s="190"/>
      <c r="P198" s="13"/>
    </row>
    <row r="199" spans="1:16" ht="15.75">
      <c r="A199">
        <v>194</v>
      </c>
      <c r="B199" s="60">
        <v>580299493</v>
      </c>
      <c r="C199" s="78" t="s">
        <v>134</v>
      </c>
      <c r="D199" s="65" t="s">
        <v>63</v>
      </c>
      <c r="E199" s="53">
        <v>323582.75</v>
      </c>
      <c r="F199" s="53">
        <v>161791</v>
      </c>
      <c r="G199" s="54">
        <f t="shared" si="15"/>
        <v>0.49999884110015136</v>
      </c>
      <c r="H199" s="62">
        <v>665740</v>
      </c>
      <c r="I199" s="63">
        <f t="shared" si="16"/>
        <v>226507.925</v>
      </c>
      <c r="J199" s="63">
        <f t="shared" si="17"/>
        <v>532592</v>
      </c>
      <c r="K199" s="172">
        <f t="shared" si="18"/>
        <v>226508</v>
      </c>
      <c r="L199" s="156"/>
      <c r="M199" s="173"/>
      <c r="N199" s="173"/>
      <c r="O199" s="190"/>
      <c r="P199" s="13"/>
    </row>
    <row r="200" spans="1:16" ht="15.75">
      <c r="A200" s="13">
        <v>195</v>
      </c>
      <c r="B200" s="60">
        <v>580301745</v>
      </c>
      <c r="C200" s="61" t="s">
        <v>511</v>
      </c>
      <c r="D200" s="65" t="s">
        <v>68</v>
      </c>
      <c r="E200" s="53">
        <v>96331</v>
      </c>
      <c r="F200" s="53">
        <v>48166</v>
      </c>
      <c r="G200" s="54">
        <f t="shared" si="15"/>
        <v>0.5000051904371386</v>
      </c>
      <c r="H200" s="62">
        <v>71676</v>
      </c>
      <c r="I200" s="63">
        <f t="shared" si="16"/>
        <v>67431.7</v>
      </c>
      <c r="J200" s="63">
        <f t="shared" si="17"/>
        <v>57340.8</v>
      </c>
      <c r="K200" s="172">
        <f t="shared" si="18"/>
        <v>57341</v>
      </c>
      <c r="L200" s="156"/>
      <c r="M200" s="173"/>
      <c r="N200" s="173"/>
      <c r="O200" s="190"/>
      <c r="P200" s="13"/>
    </row>
    <row r="201" spans="1:16" ht="15.75">
      <c r="A201">
        <v>196</v>
      </c>
      <c r="B201" s="60">
        <v>580301794</v>
      </c>
      <c r="C201" s="61" t="s">
        <v>512</v>
      </c>
      <c r="D201" s="61" t="s">
        <v>60</v>
      </c>
      <c r="E201" s="53">
        <v>27842.25</v>
      </c>
      <c r="F201" s="53">
        <v>13921</v>
      </c>
      <c r="G201" s="54">
        <f t="shared" si="15"/>
        <v>0.4999955104203144</v>
      </c>
      <c r="H201" s="62">
        <v>66511</v>
      </c>
      <c r="I201" s="63">
        <f t="shared" si="16"/>
        <v>19489.574999999997</v>
      </c>
      <c r="J201" s="63">
        <f t="shared" si="17"/>
        <v>53208.8</v>
      </c>
      <c r="K201" s="172">
        <f t="shared" si="18"/>
        <v>19490</v>
      </c>
      <c r="L201" s="156"/>
      <c r="M201" s="173"/>
      <c r="N201" s="173"/>
      <c r="O201" s="190"/>
      <c r="P201" s="13"/>
    </row>
    <row r="202" spans="1:16" ht="15">
      <c r="A202" s="13">
        <v>197</v>
      </c>
      <c r="B202" s="66">
        <v>580302081</v>
      </c>
      <c r="C202" s="16" t="s">
        <v>135</v>
      </c>
      <c r="D202" s="16" t="s">
        <v>72</v>
      </c>
      <c r="E202" s="53">
        <v>287171.25</v>
      </c>
      <c r="F202" s="53">
        <v>143586</v>
      </c>
      <c r="G202" s="54">
        <f t="shared" si="15"/>
        <v>0.5000013058410269</v>
      </c>
      <c r="H202" s="62">
        <v>171666</v>
      </c>
      <c r="I202" s="63">
        <f t="shared" si="16"/>
        <v>201019.875</v>
      </c>
      <c r="J202" s="63">
        <f t="shared" si="17"/>
        <v>137332.80000000002</v>
      </c>
      <c r="K202" s="172">
        <f t="shared" si="18"/>
        <v>0</v>
      </c>
      <c r="L202" s="156"/>
      <c r="M202" s="173"/>
      <c r="N202" s="173"/>
      <c r="O202" s="190"/>
      <c r="P202" s="13"/>
    </row>
    <row r="203" spans="1:16" ht="15.75">
      <c r="A203">
        <v>198</v>
      </c>
      <c r="B203" s="61">
        <v>580304681</v>
      </c>
      <c r="C203" s="61" t="s">
        <v>345</v>
      </c>
      <c r="D203" s="61" t="s">
        <v>74</v>
      </c>
      <c r="E203" s="53">
        <v>5228</v>
      </c>
      <c r="F203" s="53">
        <v>2614</v>
      </c>
      <c r="G203" s="54">
        <f t="shared" si="15"/>
        <v>0.5</v>
      </c>
      <c r="H203" s="62">
        <v>2746</v>
      </c>
      <c r="I203" s="63">
        <f t="shared" si="16"/>
        <v>3659.6</v>
      </c>
      <c r="J203" s="63">
        <f t="shared" si="17"/>
        <v>2196.8</v>
      </c>
      <c r="K203" s="172">
        <f t="shared" si="18"/>
        <v>0</v>
      </c>
      <c r="L203" s="156"/>
      <c r="M203" s="173"/>
      <c r="N203" s="173"/>
      <c r="O203" s="190"/>
      <c r="P203" s="13"/>
    </row>
    <row r="204" spans="1:16" ht="15.75">
      <c r="A204" s="13">
        <v>199</v>
      </c>
      <c r="B204" s="60">
        <v>580305266</v>
      </c>
      <c r="C204" s="61" t="s">
        <v>593</v>
      </c>
      <c r="D204" s="65" t="s">
        <v>63</v>
      </c>
      <c r="E204" s="53">
        <v>515395</v>
      </c>
      <c r="F204" s="53">
        <v>206158</v>
      </c>
      <c r="G204" s="54">
        <f t="shared" si="15"/>
        <v>0.4</v>
      </c>
      <c r="H204" s="62">
        <v>449985</v>
      </c>
      <c r="I204" s="63">
        <f t="shared" si="16"/>
        <v>360776.5</v>
      </c>
      <c r="J204" s="63">
        <f t="shared" si="17"/>
        <v>359988</v>
      </c>
      <c r="K204" s="172">
        <f t="shared" si="18"/>
        <v>359988</v>
      </c>
      <c r="L204" s="156"/>
      <c r="M204" s="173"/>
      <c r="N204" s="173"/>
      <c r="O204" s="190"/>
      <c r="P204" s="13"/>
    </row>
    <row r="205" spans="1:16" ht="15.75">
      <c r="A205">
        <v>200</v>
      </c>
      <c r="B205" s="60">
        <v>580307411</v>
      </c>
      <c r="C205" s="61" t="s">
        <v>136</v>
      </c>
      <c r="D205" s="61" t="s">
        <v>60</v>
      </c>
      <c r="E205" s="53">
        <v>367325.75</v>
      </c>
      <c r="F205" s="53">
        <v>183663</v>
      </c>
      <c r="G205" s="54">
        <f t="shared" si="15"/>
        <v>0.5000003402974064</v>
      </c>
      <c r="H205" s="62">
        <v>399775</v>
      </c>
      <c r="I205" s="63">
        <f t="shared" si="16"/>
        <v>257128.025</v>
      </c>
      <c r="J205" s="63">
        <f t="shared" si="17"/>
        <v>319820</v>
      </c>
      <c r="K205" s="172">
        <f t="shared" si="18"/>
        <v>257128</v>
      </c>
      <c r="L205" s="156"/>
      <c r="M205" s="173"/>
      <c r="N205" s="173"/>
      <c r="O205" s="190"/>
      <c r="P205" s="13"/>
    </row>
    <row r="206" spans="1:16" ht="15.75">
      <c r="A206" s="13">
        <v>201</v>
      </c>
      <c r="B206" s="60">
        <v>580308062</v>
      </c>
      <c r="C206" s="61" t="s">
        <v>346</v>
      </c>
      <c r="D206" s="65" t="s">
        <v>63</v>
      </c>
      <c r="E206" s="53">
        <v>146501</v>
      </c>
      <c r="F206" s="53">
        <v>73250</v>
      </c>
      <c r="G206" s="54">
        <f t="shared" si="15"/>
        <v>0.4999965870540133</v>
      </c>
      <c r="H206" s="62">
        <v>128517</v>
      </c>
      <c r="I206" s="63">
        <f t="shared" si="16"/>
        <v>102550.7</v>
      </c>
      <c r="J206" s="63">
        <f t="shared" si="17"/>
        <v>102813.6</v>
      </c>
      <c r="K206" s="172">
        <f t="shared" si="18"/>
        <v>102551</v>
      </c>
      <c r="L206" s="156"/>
      <c r="M206" s="173"/>
      <c r="N206" s="173"/>
      <c r="O206" s="190"/>
      <c r="P206" s="13"/>
    </row>
    <row r="207" spans="1:16" ht="15.75">
      <c r="A207">
        <v>202</v>
      </c>
      <c r="B207" s="60">
        <v>580308427</v>
      </c>
      <c r="C207" s="61" t="s">
        <v>137</v>
      </c>
      <c r="D207" s="65" t="s">
        <v>63</v>
      </c>
      <c r="E207" s="53">
        <v>172222.5</v>
      </c>
      <c r="F207" s="53">
        <v>86111</v>
      </c>
      <c r="G207" s="54">
        <f t="shared" si="15"/>
        <v>0.4999985483894381</v>
      </c>
      <c r="H207" s="62">
        <v>130994</v>
      </c>
      <c r="I207" s="63">
        <f t="shared" si="16"/>
        <v>120555.74999999999</v>
      </c>
      <c r="J207" s="63">
        <f t="shared" si="17"/>
        <v>104795.20000000001</v>
      </c>
      <c r="K207" s="172">
        <f t="shared" si="18"/>
        <v>104795</v>
      </c>
      <c r="L207" s="156"/>
      <c r="M207" s="173"/>
      <c r="N207" s="173"/>
      <c r="O207" s="190"/>
      <c r="P207" s="13"/>
    </row>
    <row r="208" spans="1:16" ht="15.75">
      <c r="A208" s="13">
        <v>203</v>
      </c>
      <c r="B208" s="60">
        <v>580309417</v>
      </c>
      <c r="C208" s="61" t="s">
        <v>564</v>
      </c>
      <c r="D208" s="65" t="s">
        <v>63</v>
      </c>
      <c r="E208" s="53">
        <v>35824.75</v>
      </c>
      <c r="F208" s="53">
        <v>17912</v>
      </c>
      <c r="G208" s="54">
        <f t="shared" si="15"/>
        <v>0.4999895323763599</v>
      </c>
      <c r="H208" s="62">
        <v>62240</v>
      </c>
      <c r="I208" s="63">
        <f t="shared" si="16"/>
        <v>25077.324999999997</v>
      </c>
      <c r="J208" s="63">
        <f t="shared" si="17"/>
        <v>49792</v>
      </c>
      <c r="K208" s="172">
        <f t="shared" si="18"/>
        <v>25077</v>
      </c>
      <c r="L208" s="156"/>
      <c r="M208" s="173"/>
      <c r="N208" s="173"/>
      <c r="O208" s="190"/>
      <c r="P208" s="13"/>
    </row>
    <row r="209" spans="1:16" ht="15.75">
      <c r="A209">
        <v>204</v>
      </c>
      <c r="B209" s="60">
        <v>580309680</v>
      </c>
      <c r="C209" s="61" t="s">
        <v>268</v>
      </c>
      <c r="D209" s="65" t="s">
        <v>63</v>
      </c>
      <c r="E209" s="53">
        <v>84130.25</v>
      </c>
      <c r="F209" s="53">
        <v>42065</v>
      </c>
      <c r="G209" s="54">
        <f t="shared" si="15"/>
        <v>0.49999851420862296</v>
      </c>
      <c r="H209" s="62">
        <v>104231</v>
      </c>
      <c r="I209" s="63">
        <f t="shared" si="16"/>
        <v>58891.174999999996</v>
      </c>
      <c r="J209" s="63">
        <f t="shared" si="17"/>
        <v>83384.8</v>
      </c>
      <c r="K209" s="172">
        <f t="shared" si="18"/>
        <v>58891</v>
      </c>
      <c r="L209" s="156"/>
      <c r="M209" s="173"/>
      <c r="N209" s="173"/>
      <c r="O209" s="190"/>
      <c r="P209" s="13"/>
    </row>
    <row r="210" spans="1:16" ht="15.75">
      <c r="A210" s="13">
        <v>205</v>
      </c>
      <c r="B210" s="60">
        <v>580310266</v>
      </c>
      <c r="C210" s="61" t="s">
        <v>138</v>
      </c>
      <c r="D210" s="61" t="s">
        <v>60</v>
      </c>
      <c r="E210" s="53">
        <f>498807+98698</f>
        <v>597505</v>
      </c>
      <c r="F210" s="53">
        <f>249404+39479</f>
        <v>288883</v>
      </c>
      <c r="G210" s="54">
        <f t="shared" si="15"/>
        <v>0.48348214659291555</v>
      </c>
      <c r="H210" s="62">
        <f>412763+56087</f>
        <v>468850</v>
      </c>
      <c r="I210" s="63">
        <f t="shared" si="16"/>
        <v>418253.5</v>
      </c>
      <c r="J210" s="63">
        <f t="shared" si="17"/>
        <v>375080</v>
      </c>
      <c r="K210" s="172">
        <f t="shared" si="18"/>
        <v>375080</v>
      </c>
      <c r="L210" s="156"/>
      <c r="M210" s="173"/>
      <c r="N210" s="173"/>
      <c r="O210" s="190"/>
      <c r="P210" s="13"/>
    </row>
    <row r="211" spans="1:16" ht="15.75">
      <c r="A211">
        <v>206</v>
      </c>
      <c r="B211" s="60">
        <v>580310373</v>
      </c>
      <c r="C211" s="61" t="s">
        <v>139</v>
      </c>
      <c r="D211" s="61" t="s">
        <v>60</v>
      </c>
      <c r="E211" s="53">
        <v>79623.25</v>
      </c>
      <c r="F211" s="53">
        <v>39812</v>
      </c>
      <c r="G211" s="54">
        <f t="shared" si="15"/>
        <v>0.5000047096796476</v>
      </c>
      <c r="H211" s="62">
        <v>165630</v>
      </c>
      <c r="I211" s="63">
        <f t="shared" si="16"/>
        <v>55736.274999999994</v>
      </c>
      <c r="J211" s="63">
        <f t="shared" si="17"/>
        <v>132504</v>
      </c>
      <c r="K211" s="172">
        <f t="shared" si="18"/>
        <v>55736</v>
      </c>
      <c r="L211" s="156"/>
      <c r="M211" s="173"/>
      <c r="N211" s="173"/>
      <c r="O211" s="190"/>
      <c r="P211" s="13"/>
    </row>
    <row r="212" spans="1:16" ht="15.75">
      <c r="A212" s="13">
        <v>207</v>
      </c>
      <c r="B212" s="60">
        <v>580310639</v>
      </c>
      <c r="C212" s="61" t="s">
        <v>269</v>
      </c>
      <c r="D212" s="65" t="s">
        <v>63</v>
      </c>
      <c r="E212" s="53">
        <v>185319.25</v>
      </c>
      <c r="F212" s="53">
        <v>92660</v>
      </c>
      <c r="G212" s="54">
        <f t="shared" si="15"/>
        <v>0.5000020235350618</v>
      </c>
      <c r="H212" s="62">
        <v>223274</v>
      </c>
      <c r="I212" s="63">
        <f t="shared" si="16"/>
        <v>129723.47499999999</v>
      </c>
      <c r="J212" s="63">
        <f t="shared" si="17"/>
        <v>178619.2</v>
      </c>
      <c r="K212" s="172">
        <f t="shared" si="18"/>
        <v>129723</v>
      </c>
      <c r="L212" s="156"/>
      <c r="M212" s="173"/>
      <c r="N212" s="173"/>
      <c r="O212" s="190"/>
      <c r="P212" s="13"/>
    </row>
    <row r="213" spans="1:16" ht="15">
      <c r="A213">
        <v>208</v>
      </c>
      <c r="B213" s="89">
        <v>580311181</v>
      </c>
      <c r="C213" s="89" t="s">
        <v>614</v>
      </c>
      <c r="D213" s="90" t="s">
        <v>60</v>
      </c>
      <c r="E213" s="53">
        <v>115105</v>
      </c>
      <c r="F213" s="53">
        <v>57553</v>
      </c>
      <c r="G213" s="54">
        <f t="shared" si="15"/>
        <v>0.500004343859954</v>
      </c>
      <c r="H213" s="62">
        <v>93913</v>
      </c>
      <c r="I213" s="63">
        <f t="shared" si="16"/>
        <v>80573.5</v>
      </c>
      <c r="J213" s="63">
        <f t="shared" si="17"/>
        <v>75130.40000000001</v>
      </c>
      <c r="K213" s="172">
        <f t="shared" si="18"/>
        <v>75130</v>
      </c>
      <c r="L213" s="156"/>
      <c r="M213" s="173"/>
      <c r="N213" s="173"/>
      <c r="O213" s="190"/>
      <c r="P213" s="13"/>
    </row>
    <row r="214" spans="1:16" ht="15.75">
      <c r="A214" s="13">
        <v>209</v>
      </c>
      <c r="B214" s="60">
        <v>580314581</v>
      </c>
      <c r="C214" s="61" t="s">
        <v>140</v>
      </c>
      <c r="D214" s="65" t="s">
        <v>63</v>
      </c>
      <c r="E214" s="53">
        <v>211074.5</v>
      </c>
      <c r="F214" s="53">
        <v>105537</v>
      </c>
      <c r="G214" s="54">
        <f t="shared" si="15"/>
        <v>0.49999881558407105</v>
      </c>
      <c r="H214" s="62">
        <v>212742</v>
      </c>
      <c r="I214" s="63">
        <f t="shared" si="16"/>
        <v>147752.15</v>
      </c>
      <c r="J214" s="63">
        <f t="shared" si="17"/>
        <v>170193.6</v>
      </c>
      <c r="K214" s="172">
        <f t="shared" si="18"/>
        <v>147752</v>
      </c>
      <c r="L214" s="156"/>
      <c r="M214" s="173"/>
      <c r="N214" s="173"/>
      <c r="O214" s="190"/>
      <c r="P214" s="13"/>
    </row>
    <row r="215" spans="1:16" ht="15.75">
      <c r="A215">
        <v>210</v>
      </c>
      <c r="B215" s="60">
        <v>580314748</v>
      </c>
      <c r="C215" s="61" t="s">
        <v>141</v>
      </c>
      <c r="D215" s="61" t="s">
        <v>60</v>
      </c>
      <c r="E215" s="53">
        <f>354547.5+84272</f>
        <v>438819.5</v>
      </c>
      <c r="F215" s="53">
        <f>168023+42136</f>
        <v>210159</v>
      </c>
      <c r="G215" s="54">
        <f t="shared" si="15"/>
        <v>0.4789190088407648</v>
      </c>
      <c r="H215" s="62">
        <f>264332+67291</f>
        <v>331623</v>
      </c>
      <c r="I215" s="63">
        <f t="shared" si="16"/>
        <v>307173.64999999997</v>
      </c>
      <c r="J215" s="63">
        <f t="shared" si="17"/>
        <v>265298.4</v>
      </c>
      <c r="K215" s="172">
        <f t="shared" si="18"/>
        <v>265298</v>
      </c>
      <c r="L215" s="156"/>
      <c r="M215" s="173"/>
      <c r="N215" s="173"/>
      <c r="O215" s="190"/>
      <c r="P215" s="13"/>
    </row>
    <row r="216" spans="1:16" ht="15.75">
      <c r="A216" s="13">
        <v>211</v>
      </c>
      <c r="B216" s="60">
        <v>580314912</v>
      </c>
      <c r="C216" s="61" t="s">
        <v>106</v>
      </c>
      <c r="D216" s="61" t="s">
        <v>60</v>
      </c>
      <c r="E216" s="53">
        <v>160293.5</v>
      </c>
      <c r="F216" s="53">
        <v>80147</v>
      </c>
      <c r="G216" s="54">
        <f t="shared" si="15"/>
        <v>0.5000015596390371</v>
      </c>
      <c r="H216" s="62">
        <v>173161</v>
      </c>
      <c r="I216" s="63">
        <f t="shared" si="16"/>
        <v>112205.45</v>
      </c>
      <c r="J216" s="63">
        <f t="shared" si="17"/>
        <v>138528.80000000002</v>
      </c>
      <c r="K216" s="172">
        <f t="shared" si="18"/>
        <v>112205</v>
      </c>
      <c r="L216" s="156"/>
      <c r="M216" s="173"/>
      <c r="N216" s="173"/>
      <c r="O216" s="190"/>
      <c r="P216" s="13"/>
    </row>
    <row r="217" spans="1:16" ht="15.75">
      <c r="A217">
        <v>212</v>
      </c>
      <c r="B217" s="61">
        <v>580315141</v>
      </c>
      <c r="C217" s="61" t="s">
        <v>513</v>
      </c>
      <c r="D217" s="61" t="s">
        <v>68</v>
      </c>
      <c r="E217" s="53">
        <v>31561.5</v>
      </c>
      <c r="F217" s="53">
        <v>15781</v>
      </c>
      <c r="G217" s="54">
        <f t="shared" si="15"/>
        <v>0.5000079210430429</v>
      </c>
      <c r="H217" s="62">
        <v>27457</v>
      </c>
      <c r="I217" s="63">
        <f t="shared" si="16"/>
        <v>22093.05</v>
      </c>
      <c r="J217" s="63">
        <f t="shared" si="17"/>
        <v>21965.600000000002</v>
      </c>
      <c r="K217" s="172">
        <f t="shared" si="18"/>
        <v>21966</v>
      </c>
      <c r="L217" s="156"/>
      <c r="M217" s="173"/>
      <c r="N217" s="173"/>
      <c r="O217" s="190"/>
      <c r="P217" s="13"/>
    </row>
    <row r="218" spans="1:16" ht="15.75">
      <c r="A218" s="13">
        <v>213</v>
      </c>
      <c r="B218" s="60">
        <v>580315893</v>
      </c>
      <c r="C218" s="78" t="s">
        <v>347</v>
      </c>
      <c r="D218" s="65" t="s">
        <v>63</v>
      </c>
      <c r="E218" s="53">
        <v>61822.75</v>
      </c>
      <c r="F218" s="53">
        <v>30911</v>
      </c>
      <c r="G218" s="54">
        <f t="shared" si="15"/>
        <v>0.4999939342717689</v>
      </c>
      <c r="H218" s="62">
        <v>39026</v>
      </c>
      <c r="I218" s="63">
        <f t="shared" si="16"/>
        <v>43275.924999999996</v>
      </c>
      <c r="J218" s="63">
        <f t="shared" si="17"/>
        <v>31220.800000000003</v>
      </c>
      <c r="K218" s="172">
        <f t="shared" si="18"/>
        <v>31221</v>
      </c>
      <c r="L218" s="156"/>
      <c r="M218" s="173"/>
      <c r="N218" s="173"/>
      <c r="O218" s="190"/>
      <c r="P218" s="13"/>
    </row>
    <row r="219" spans="1:16" ht="15.75">
      <c r="A219">
        <v>214</v>
      </c>
      <c r="B219" s="85">
        <v>580315901</v>
      </c>
      <c r="C219" s="60" t="s">
        <v>633</v>
      </c>
      <c r="D219" s="61" t="s">
        <v>63</v>
      </c>
      <c r="E219" s="53">
        <v>10238.75</v>
      </c>
      <c r="F219" s="53">
        <v>5119</v>
      </c>
      <c r="G219" s="54">
        <f t="shared" si="15"/>
        <v>0.4999633744353559</v>
      </c>
      <c r="H219" s="62">
        <v>53924</v>
      </c>
      <c r="I219" s="63">
        <f t="shared" si="16"/>
        <v>7167.125</v>
      </c>
      <c r="J219" s="63">
        <f t="shared" si="17"/>
        <v>43139.200000000004</v>
      </c>
      <c r="K219" s="172">
        <f t="shared" si="18"/>
        <v>7167</v>
      </c>
      <c r="L219" s="156"/>
      <c r="M219" s="173"/>
      <c r="N219" s="173"/>
      <c r="O219" s="190"/>
      <c r="P219" s="13"/>
    </row>
    <row r="220" spans="1:16" ht="15.75">
      <c r="A220" s="13">
        <v>215</v>
      </c>
      <c r="B220" s="60">
        <v>580315927</v>
      </c>
      <c r="C220" s="78" t="s">
        <v>270</v>
      </c>
      <c r="D220" s="65" t="s">
        <v>63</v>
      </c>
      <c r="E220" s="53">
        <v>8293</v>
      </c>
      <c r="F220" s="53">
        <v>4147</v>
      </c>
      <c r="G220" s="54">
        <f t="shared" si="15"/>
        <v>0.5000602918123719</v>
      </c>
      <c r="H220" s="62">
        <v>27456</v>
      </c>
      <c r="I220" s="63">
        <f t="shared" si="16"/>
        <v>5805.099999999999</v>
      </c>
      <c r="J220" s="63">
        <f t="shared" si="17"/>
        <v>21964.800000000003</v>
      </c>
      <c r="K220" s="172">
        <f t="shared" si="18"/>
        <v>5805</v>
      </c>
      <c r="L220" s="156"/>
      <c r="M220" s="173"/>
      <c r="N220" s="173"/>
      <c r="O220" s="190"/>
      <c r="P220" s="13"/>
    </row>
    <row r="221" spans="1:16" ht="15.75">
      <c r="A221">
        <v>216</v>
      </c>
      <c r="B221" s="60">
        <v>580315935</v>
      </c>
      <c r="C221" s="78" t="s">
        <v>142</v>
      </c>
      <c r="D221" s="65" t="s">
        <v>63</v>
      </c>
      <c r="E221" s="53">
        <v>93589.25</v>
      </c>
      <c r="F221" s="53">
        <v>46795</v>
      </c>
      <c r="G221" s="54">
        <f t="shared" si="15"/>
        <v>0.5000040068704472</v>
      </c>
      <c r="H221" s="62">
        <v>196433</v>
      </c>
      <c r="I221" s="63">
        <f t="shared" si="16"/>
        <v>65512.475</v>
      </c>
      <c r="J221" s="63">
        <f t="shared" si="17"/>
        <v>157146.4</v>
      </c>
      <c r="K221" s="172">
        <f t="shared" si="18"/>
        <v>65512</v>
      </c>
      <c r="L221" s="156"/>
      <c r="M221" s="173"/>
      <c r="N221" s="173"/>
      <c r="O221" s="190"/>
      <c r="P221" s="13"/>
    </row>
    <row r="222" spans="1:16" ht="15">
      <c r="A222" s="13">
        <v>217</v>
      </c>
      <c r="B222" s="70">
        <v>580315976</v>
      </c>
      <c r="C222" s="65" t="s">
        <v>271</v>
      </c>
      <c r="D222" s="65" t="s">
        <v>63</v>
      </c>
      <c r="E222" s="53">
        <v>11610</v>
      </c>
      <c r="F222" s="53">
        <v>5031</v>
      </c>
      <c r="G222" s="54">
        <f t="shared" si="15"/>
        <v>0.43333333333333335</v>
      </c>
      <c r="H222" s="62">
        <v>34466</v>
      </c>
      <c r="I222" s="63">
        <f t="shared" si="16"/>
        <v>8126.999999999999</v>
      </c>
      <c r="J222" s="63">
        <f t="shared" si="17"/>
        <v>27572.800000000003</v>
      </c>
      <c r="K222" s="172">
        <f t="shared" si="18"/>
        <v>8127</v>
      </c>
      <c r="L222" s="156"/>
      <c r="M222" s="173"/>
      <c r="N222" s="173"/>
      <c r="O222" s="190"/>
      <c r="P222" s="13"/>
    </row>
    <row r="223" spans="1:16" ht="15.75">
      <c r="A223">
        <v>218</v>
      </c>
      <c r="B223" s="60">
        <v>580315984</v>
      </c>
      <c r="C223" s="78" t="s">
        <v>348</v>
      </c>
      <c r="D223" s="65" t="s">
        <v>63</v>
      </c>
      <c r="E223" s="53">
        <v>370580.75</v>
      </c>
      <c r="F223" s="53">
        <v>148232</v>
      </c>
      <c r="G223" s="54">
        <f t="shared" si="15"/>
        <v>0.39999919045983906</v>
      </c>
      <c r="H223" s="62">
        <v>678800</v>
      </c>
      <c r="I223" s="63">
        <f t="shared" si="16"/>
        <v>259406.525</v>
      </c>
      <c r="J223" s="63">
        <f t="shared" si="17"/>
        <v>543040</v>
      </c>
      <c r="K223" s="172">
        <f t="shared" si="18"/>
        <v>259407</v>
      </c>
      <c r="L223" s="156"/>
      <c r="M223" s="173"/>
      <c r="N223" s="173"/>
      <c r="O223" s="190"/>
      <c r="P223" s="13"/>
    </row>
    <row r="224" spans="1:16" ht="15.75">
      <c r="A224" s="13">
        <v>219</v>
      </c>
      <c r="B224" s="60">
        <v>580315992</v>
      </c>
      <c r="C224" s="78" t="s">
        <v>349</v>
      </c>
      <c r="D224" s="65" t="s">
        <v>63</v>
      </c>
      <c r="E224" s="53">
        <v>97475</v>
      </c>
      <c r="F224" s="53">
        <v>48738</v>
      </c>
      <c r="G224" s="54">
        <f t="shared" si="15"/>
        <v>0.5000051295203899</v>
      </c>
      <c r="H224" s="62">
        <v>77886</v>
      </c>
      <c r="I224" s="63">
        <f t="shared" si="16"/>
        <v>68232.5</v>
      </c>
      <c r="J224" s="63">
        <f t="shared" si="17"/>
        <v>62308.8</v>
      </c>
      <c r="K224" s="172">
        <f t="shared" si="18"/>
        <v>62309</v>
      </c>
      <c r="L224" s="156"/>
      <c r="M224" s="173"/>
      <c r="N224" s="173"/>
      <c r="O224" s="190"/>
      <c r="P224" s="13"/>
    </row>
    <row r="225" spans="1:16" ht="15.75">
      <c r="A225">
        <v>220</v>
      </c>
      <c r="B225" s="61">
        <v>580316065</v>
      </c>
      <c r="C225" s="61" t="s">
        <v>350</v>
      </c>
      <c r="D225" s="61" t="s">
        <v>74</v>
      </c>
      <c r="E225" s="53">
        <v>257677.51793902632</v>
      </c>
      <c r="F225" s="53">
        <v>128839</v>
      </c>
      <c r="G225" s="54">
        <f t="shared" si="15"/>
        <v>0.500000935395873</v>
      </c>
      <c r="H225" s="62">
        <v>246665</v>
      </c>
      <c r="I225" s="63">
        <f t="shared" si="16"/>
        <v>180374.2625573184</v>
      </c>
      <c r="J225" s="63">
        <f t="shared" si="17"/>
        <v>197332</v>
      </c>
      <c r="K225" s="172">
        <f t="shared" si="18"/>
        <v>180374</v>
      </c>
      <c r="L225" s="156"/>
      <c r="M225" s="173"/>
      <c r="N225" s="173"/>
      <c r="O225" s="190"/>
      <c r="P225" s="13"/>
    </row>
    <row r="226" spans="1:16" ht="15.75">
      <c r="A226" s="13">
        <v>221</v>
      </c>
      <c r="B226" s="60">
        <v>580317584</v>
      </c>
      <c r="C226" s="61" t="s">
        <v>692</v>
      </c>
      <c r="D226" s="65" t="s">
        <v>63</v>
      </c>
      <c r="E226" s="53">
        <v>25843.25</v>
      </c>
      <c r="F226" s="53">
        <v>12922</v>
      </c>
      <c r="G226" s="54">
        <f t="shared" si="15"/>
        <v>0.50001451055885</v>
      </c>
      <c r="H226" s="62">
        <v>71957</v>
      </c>
      <c r="I226" s="63">
        <f t="shared" si="16"/>
        <v>18090.274999999998</v>
      </c>
      <c r="J226" s="63">
        <f t="shared" si="17"/>
        <v>57565.600000000006</v>
      </c>
      <c r="K226" s="172">
        <f t="shared" si="18"/>
        <v>18090</v>
      </c>
      <c r="L226" s="156"/>
      <c r="M226" s="173"/>
      <c r="N226" s="173"/>
      <c r="O226" s="190"/>
      <c r="P226" s="13"/>
    </row>
    <row r="227" spans="1:16" ht="15.75">
      <c r="A227">
        <v>222</v>
      </c>
      <c r="B227" s="60">
        <v>580317709</v>
      </c>
      <c r="C227" s="153" t="s">
        <v>722</v>
      </c>
      <c r="D227" s="16" t="s">
        <v>63</v>
      </c>
      <c r="E227" s="53">
        <v>23952.75</v>
      </c>
      <c r="F227" s="53">
        <v>11976</v>
      </c>
      <c r="G227" s="54">
        <f t="shared" si="15"/>
        <v>0.4999843441775996</v>
      </c>
      <c r="H227" s="62">
        <v>26764</v>
      </c>
      <c r="I227" s="63">
        <f t="shared" si="16"/>
        <v>16766.925</v>
      </c>
      <c r="J227" s="63">
        <f t="shared" si="17"/>
        <v>21411.2</v>
      </c>
      <c r="K227" s="172">
        <f t="shared" si="18"/>
        <v>16767</v>
      </c>
      <c r="L227" s="156"/>
      <c r="M227" s="173"/>
      <c r="N227" s="173"/>
      <c r="O227" s="190"/>
      <c r="P227" s="13"/>
    </row>
    <row r="228" spans="1:16" ht="15.75">
      <c r="A228" s="13">
        <v>223</v>
      </c>
      <c r="B228" s="60">
        <v>580320141</v>
      </c>
      <c r="C228" s="61" t="s">
        <v>514</v>
      </c>
      <c r="D228" s="61" t="s">
        <v>60</v>
      </c>
      <c r="E228" s="53">
        <v>94040</v>
      </c>
      <c r="F228" s="53">
        <v>47020</v>
      </c>
      <c r="G228" s="54">
        <f t="shared" si="15"/>
        <v>0.5</v>
      </c>
      <c r="H228" s="62">
        <v>72168</v>
      </c>
      <c r="I228" s="63">
        <f t="shared" si="16"/>
        <v>65828</v>
      </c>
      <c r="J228" s="63">
        <f t="shared" si="17"/>
        <v>57734.4</v>
      </c>
      <c r="K228" s="172">
        <f t="shared" si="18"/>
        <v>57734</v>
      </c>
      <c r="L228" s="156"/>
      <c r="M228" s="173"/>
      <c r="N228" s="173"/>
      <c r="O228" s="190"/>
      <c r="P228" s="13"/>
    </row>
    <row r="229" spans="1:16" ht="15.75">
      <c r="A229">
        <v>224</v>
      </c>
      <c r="B229" s="60">
        <v>580321347</v>
      </c>
      <c r="C229" s="61" t="s">
        <v>351</v>
      </c>
      <c r="D229" s="65" t="s">
        <v>63</v>
      </c>
      <c r="E229" s="53">
        <v>176227.25</v>
      </c>
      <c r="F229" s="53">
        <v>88114</v>
      </c>
      <c r="G229" s="54">
        <f t="shared" si="15"/>
        <v>0.500002127934244</v>
      </c>
      <c r="H229" s="62">
        <v>62694</v>
      </c>
      <c r="I229" s="63">
        <f t="shared" si="16"/>
        <v>123359.075</v>
      </c>
      <c r="J229" s="63">
        <f t="shared" si="17"/>
        <v>50155.200000000004</v>
      </c>
      <c r="K229" s="172">
        <f t="shared" si="18"/>
        <v>0</v>
      </c>
      <c r="L229" s="156"/>
      <c r="M229" s="173"/>
      <c r="N229" s="173"/>
      <c r="O229" s="190"/>
      <c r="P229" s="13"/>
    </row>
    <row r="230" spans="1:16" ht="15.75">
      <c r="A230" s="13">
        <v>225</v>
      </c>
      <c r="B230" s="60">
        <v>580321552</v>
      </c>
      <c r="C230" s="153" t="s">
        <v>723</v>
      </c>
      <c r="D230" s="16" t="s">
        <v>72</v>
      </c>
      <c r="E230" s="53">
        <v>101498.25</v>
      </c>
      <c r="F230" s="53">
        <v>50749</v>
      </c>
      <c r="G230" s="54">
        <f t="shared" si="15"/>
        <v>0.4999987684516728</v>
      </c>
      <c r="H230" s="62">
        <v>120278</v>
      </c>
      <c r="I230" s="63">
        <f t="shared" si="16"/>
        <v>71048.775</v>
      </c>
      <c r="J230" s="63">
        <f t="shared" si="17"/>
        <v>96222.40000000001</v>
      </c>
      <c r="K230" s="172">
        <f t="shared" si="18"/>
        <v>71049</v>
      </c>
      <c r="L230" s="156"/>
      <c r="M230" s="173"/>
      <c r="N230" s="173"/>
      <c r="O230" s="190"/>
      <c r="P230" s="13"/>
    </row>
    <row r="231" spans="1:16" ht="15.75">
      <c r="A231">
        <v>226</v>
      </c>
      <c r="B231" s="61">
        <v>580324127</v>
      </c>
      <c r="C231" s="61" t="s">
        <v>352</v>
      </c>
      <c r="D231" s="61" t="s">
        <v>94</v>
      </c>
      <c r="E231" s="53">
        <v>218368.5</v>
      </c>
      <c r="F231" s="53">
        <v>109184</v>
      </c>
      <c r="G231" s="54">
        <f t="shared" si="15"/>
        <v>0.49999885514623216</v>
      </c>
      <c r="H231" s="62">
        <v>130839</v>
      </c>
      <c r="I231" s="63">
        <f t="shared" si="16"/>
        <v>152857.94999999998</v>
      </c>
      <c r="J231" s="63">
        <f t="shared" si="17"/>
        <v>104671.20000000001</v>
      </c>
      <c r="K231" s="172">
        <f t="shared" si="18"/>
        <v>0</v>
      </c>
      <c r="L231" s="156"/>
      <c r="M231" s="173"/>
      <c r="N231" s="173"/>
      <c r="O231" s="190"/>
      <c r="P231" s="13"/>
    </row>
    <row r="232" spans="1:16" ht="15.75">
      <c r="A232" s="13">
        <v>227</v>
      </c>
      <c r="B232" s="60">
        <v>580324192</v>
      </c>
      <c r="C232" s="61" t="s">
        <v>565</v>
      </c>
      <c r="D232" s="65" t="s">
        <v>63</v>
      </c>
      <c r="E232" s="53">
        <v>207370</v>
      </c>
      <c r="F232" s="53">
        <v>82948</v>
      </c>
      <c r="G232" s="54">
        <f t="shared" si="15"/>
        <v>0.4</v>
      </c>
      <c r="H232" s="62">
        <v>256792</v>
      </c>
      <c r="I232" s="63">
        <f t="shared" si="16"/>
        <v>145159</v>
      </c>
      <c r="J232" s="63">
        <f t="shared" si="17"/>
        <v>205433.6</v>
      </c>
      <c r="K232" s="172">
        <f t="shared" si="18"/>
        <v>145159</v>
      </c>
      <c r="L232" s="156"/>
      <c r="M232" s="173"/>
      <c r="N232" s="173"/>
      <c r="O232" s="190"/>
      <c r="P232" s="13"/>
    </row>
    <row r="233" spans="1:16" ht="15.75">
      <c r="A233">
        <v>228</v>
      </c>
      <c r="B233" s="60">
        <v>580325439</v>
      </c>
      <c r="C233" s="61" t="s">
        <v>693</v>
      </c>
      <c r="D233" s="61" t="s">
        <v>60</v>
      </c>
      <c r="E233" s="53">
        <v>16875</v>
      </c>
      <c r="F233" s="53">
        <v>8438</v>
      </c>
      <c r="G233" s="54">
        <f t="shared" si="15"/>
        <v>0.5000296296296296</v>
      </c>
      <c r="H233" s="77">
        <v>13207</v>
      </c>
      <c r="I233" s="63">
        <f t="shared" si="16"/>
        <v>11812.5</v>
      </c>
      <c r="J233" s="63">
        <f t="shared" si="17"/>
        <v>10565.6</v>
      </c>
      <c r="K233" s="172">
        <f t="shared" si="18"/>
        <v>10566</v>
      </c>
      <c r="L233" s="156"/>
      <c r="M233" s="173"/>
      <c r="N233" s="173"/>
      <c r="O233" s="190"/>
      <c r="P233" s="13"/>
    </row>
    <row r="234" spans="1:16" ht="15.75">
      <c r="A234" s="13">
        <v>229</v>
      </c>
      <c r="B234" s="60">
        <v>580328599</v>
      </c>
      <c r="C234" s="60" t="s">
        <v>634</v>
      </c>
      <c r="D234" s="61" t="s">
        <v>63</v>
      </c>
      <c r="E234" s="53">
        <v>71043</v>
      </c>
      <c r="F234" s="53">
        <v>35522</v>
      </c>
      <c r="G234" s="54">
        <f t="shared" si="15"/>
        <v>0.5000070379910758</v>
      </c>
      <c r="H234" s="62">
        <v>144097</v>
      </c>
      <c r="I234" s="63">
        <f t="shared" si="16"/>
        <v>49730.1</v>
      </c>
      <c r="J234" s="63">
        <f t="shared" si="17"/>
        <v>115277.6</v>
      </c>
      <c r="K234" s="172">
        <f t="shared" si="18"/>
        <v>49730</v>
      </c>
      <c r="L234" s="156"/>
      <c r="M234" s="173"/>
      <c r="N234" s="173"/>
      <c r="O234" s="190"/>
      <c r="P234" s="13"/>
    </row>
    <row r="235" spans="1:16" ht="15">
      <c r="A235">
        <v>230</v>
      </c>
      <c r="B235" s="89">
        <v>580329274</v>
      </c>
      <c r="C235" s="90" t="s">
        <v>353</v>
      </c>
      <c r="D235" s="90" t="s">
        <v>72</v>
      </c>
      <c r="E235" s="53">
        <v>211197</v>
      </c>
      <c r="F235" s="53">
        <v>84479</v>
      </c>
      <c r="G235" s="54">
        <f t="shared" si="15"/>
        <v>0.4000009469831484</v>
      </c>
      <c r="H235" s="62">
        <v>217501</v>
      </c>
      <c r="I235" s="63">
        <f t="shared" si="16"/>
        <v>147837.9</v>
      </c>
      <c r="J235" s="63">
        <f t="shared" si="17"/>
        <v>174000.80000000002</v>
      </c>
      <c r="K235" s="172">
        <f t="shared" si="18"/>
        <v>147838</v>
      </c>
      <c r="L235" s="156"/>
      <c r="M235" s="173"/>
      <c r="N235" s="173"/>
      <c r="O235" s="190"/>
      <c r="P235" s="13"/>
    </row>
    <row r="236" spans="1:16" ht="15.75">
      <c r="A236" s="13">
        <v>231</v>
      </c>
      <c r="B236" s="101">
        <v>580329290</v>
      </c>
      <c r="C236" s="102" t="s">
        <v>662</v>
      </c>
      <c r="D236" s="102" t="s">
        <v>72</v>
      </c>
      <c r="E236" s="53">
        <v>58864.75</v>
      </c>
      <c r="F236" s="53">
        <v>23546</v>
      </c>
      <c r="G236" s="54">
        <f t="shared" si="15"/>
        <v>0.4000016988095592</v>
      </c>
      <c r="H236" s="62">
        <v>47882</v>
      </c>
      <c r="I236" s="63">
        <f t="shared" si="16"/>
        <v>41205.325</v>
      </c>
      <c r="J236" s="63">
        <f t="shared" si="17"/>
        <v>38305.6</v>
      </c>
      <c r="K236" s="172">
        <f t="shared" si="18"/>
        <v>38306</v>
      </c>
      <c r="L236" s="156"/>
      <c r="M236" s="173"/>
      <c r="N236" s="173"/>
      <c r="O236" s="190"/>
      <c r="P236" s="13"/>
    </row>
    <row r="237" spans="1:16" ht="15">
      <c r="A237">
        <v>232</v>
      </c>
      <c r="B237" s="66">
        <v>580329316</v>
      </c>
      <c r="C237" s="16" t="s">
        <v>143</v>
      </c>
      <c r="D237" s="16" t="s">
        <v>72</v>
      </c>
      <c r="E237" s="53">
        <v>37917.5</v>
      </c>
      <c r="F237" s="53">
        <v>15167</v>
      </c>
      <c r="G237" s="54">
        <f t="shared" si="15"/>
        <v>0.4</v>
      </c>
      <c r="H237" s="62">
        <v>41793</v>
      </c>
      <c r="I237" s="63">
        <f t="shared" si="16"/>
        <v>26542.25</v>
      </c>
      <c r="J237" s="63">
        <f t="shared" si="17"/>
        <v>33434.4</v>
      </c>
      <c r="K237" s="172">
        <f t="shared" si="18"/>
        <v>26542</v>
      </c>
      <c r="L237" s="156"/>
      <c r="M237" s="173"/>
      <c r="N237" s="173"/>
      <c r="O237" s="190"/>
      <c r="P237" s="13"/>
    </row>
    <row r="238" spans="1:16" ht="15.75">
      <c r="A238" s="13">
        <v>233</v>
      </c>
      <c r="B238" s="60">
        <v>580329423</v>
      </c>
      <c r="C238" s="61" t="s">
        <v>144</v>
      </c>
      <c r="D238" s="61" t="s">
        <v>60</v>
      </c>
      <c r="E238" s="53">
        <v>47979</v>
      </c>
      <c r="F238" s="53">
        <v>23990</v>
      </c>
      <c r="G238" s="54">
        <f t="shared" si="15"/>
        <v>0.5000104212259531</v>
      </c>
      <c r="H238" s="62">
        <v>37679</v>
      </c>
      <c r="I238" s="63">
        <f t="shared" si="16"/>
        <v>33585.299999999996</v>
      </c>
      <c r="J238" s="63">
        <f t="shared" si="17"/>
        <v>30143.2</v>
      </c>
      <c r="K238" s="172">
        <f t="shared" si="18"/>
        <v>30143</v>
      </c>
      <c r="L238" s="156"/>
      <c r="M238" s="173"/>
      <c r="N238" s="173"/>
      <c r="O238" s="190"/>
      <c r="P238" s="13"/>
    </row>
    <row r="239" spans="1:16" ht="15">
      <c r="A239">
        <v>234</v>
      </c>
      <c r="B239" s="66">
        <v>580330165</v>
      </c>
      <c r="C239" s="16" t="s">
        <v>145</v>
      </c>
      <c r="D239" s="16" t="s">
        <v>72</v>
      </c>
      <c r="E239" s="53">
        <v>1572</v>
      </c>
      <c r="F239" s="53">
        <v>786</v>
      </c>
      <c r="G239" s="54">
        <f t="shared" si="15"/>
        <v>0.5</v>
      </c>
      <c r="H239" s="62">
        <v>1115</v>
      </c>
      <c r="I239" s="63">
        <f t="shared" si="16"/>
        <v>1100.3999999999999</v>
      </c>
      <c r="J239" s="63">
        <f t="shared" si="17"/>
        <v>892</v>
      </c>
      <c r="K239" s="172">
        <f t="shared" si="18"/>
        <v>892</v>
      </c>
      <c r="L239" s="156"/>
      <c r="M239" s="173"/>
      <c r="N239" s="173"/>
      <c r="O239" s="190"/>
      <c r="P239" s="13"/>
    </row>
    <row r="240" spans="1:16" ht="15.75">
      <c r="A240" s="13">
        <v>235</v>
      </c>
      <c r="B240" s="60">
        <v>580330447</v>
      </c>
      <c r="C240" s="153" t="s">
        <v>724</v>
      </c>
      <c r="D240" s="16" t="s">
        <v>60</v>
      </c>
      <c r="E240" s="53">
        <v>186956</v>
      </c>
      <c r="F240" s="53">
        <v>93478</v>
      </c>
      <c r="G240" s="54">
        <f t="shared" si="15"/>
        <v>0.5</v>
      </c>
      <c r="H240" s="62">
        <v>185299</v>
      </c>
      <c r="I240" s="63">
        <f t="shared" si="16"/>
        <v>130869.2</v>
      </c>
      <c r="J240" s="63">
        <f t="shared" si="17"/>
        <v>148239.2</v>
      </c>
      <c r="K240" s="172">
        <f t="shared" si="18"/>
        <v>130869</v>
      </c>
      <c r="L240" s="156"/>
      <c r="M240" s="173"/>
      <c r="N240" s="173"/>
      <c r="O240" s="190"/>
      <c r="P240" s="13"/>
    </row>
    <row r="241" spans="1:16" ht="15.75">
      <c r="A241">
        <v>236</v>
      </c>
      <c r="B241" s="60">
        <v>580331270</v>
      </c>
      <c r="C241" s="61" t="s">
        <v>566</v>
      </c>
      <c r="D241" s="65" t="s">
        <v>63</v>
      </c>
      <c r="E241" s="53">
        <v>11419.25</v>
      </c>
      <c r="F241" s="53">
        <v>5710</v>
      </c>
      <c r="G241" s="54">
        <f aca="true" t="shared" si="19" ref="G241:G304">F241/E241</f>
        <v>0.5000328392845415</v>
      </c>
      <c r="H241" s="62">
        <v>7195</v>
      </c>
      <c r="I241" s="63">
        <f t="shared" si="16"/>
        <v>7993.474999999999</v>
      </c>
      <c r="J241" s="63">
        <f t="shared" si="17"/>
        <v>5756</v>
      </c>
      <c r="K241" s="172">
        <f t="shared" si="18"/>
        <v>5756</v>
      </c>
      <c r="L241" s="156"/>
      <c r="M241" s="173"/>
      <c r="N241" s="173"/>
      <c r="O241" s="190"/>
      <c r="P241" s="13"/>
    </row>
    <row r="242" spans="1:16" ht="15.75">
      <c r="A242" s="13">
        <v>237</v>
      </c>
      <c r="B242" s="60">
        <v>580331379</v>
      </c>
      <c r="C242" s="61" t="s">
        <v>146</v>
      </c>
      <c r="D242" s="61" t="s">
        <v>60</v>
      </c>
      <c r="E242" s="53">
        <v>71099.25</v>
      </c>
      <c r="F242" s="53">
        <v>35550</v>
      </c>
      <c r="G242" s="54">
        <f t="shared" si="19"/>
        <v>0.5000052743172396</v>
      </c>
      <c r="H242" s="62">
        <v>38538</v>
      </c>
      <c r="I242" s="63">
        <f t="shared" si="16"/>
        <v>49769.475</v>
      </c>
      <c r="J242" s="63">
        <f t="shared" si="17"/>
        <v>30830.4</v>
      </c>
      <c r="K242" s="172">
        <f t="shared" si="18"/>
        <v>0</v>
      </c>
      <c r="L242" s="156"/>
      <c r="M242" s="173"/>
      <c r="N242" s="173"/>
      <c r="O242" s="190"/>
      <c r="P242" s="13"/>
    </row>
    <row r="243" spans="1:16" ht="15.75">
      <c r="A243">
        <v>238</v>
      </c>
      <c r="B243" s="61">
        <v>580331510</v>
      </c>
      <c r="C243" s="61" t="s">
        <v>594</v>
      </c>
      <c r="D243" s="61" t="s">
        <v>74</v>
      </c>
      <c r="E243" s="53">
        <v>220330.25</v>
      </c>
      <c r="F243" s="53">
        <v>110165</v>
      </c>
      <c r="G243" s="54">
        <f t="shared" si="19"/>
        <v>0.4999994326698218</v>
      </c>
      <c r="H243" s="62">
        <v>156408</v>
      </c>
      <c r="I243" s="63">
        <f t="shared" si="16"/>
        <v>154231.175</v>
      </c>
      <c r="J243" s="63">
        <f t="shared" si="17"/>
        <v>125126.40000000001</v>
      </c>
      <c r="K243" s="172">
        <f t="shared" si="18"/>
        <v>125126</v>
      </c>
      <c r="L243" s="156"/>
      <c r="M243" s="173"/>
      <c r="N243" s="173"/>
      <c r="O243" s="190"/>
      <c r="P243" s="13"/>
    </row>
    <row r="244" spans="1:16" ht="15.75">
      <c r="A244" s="13">
        <v>239</v>
      </c>
      <c r="B244" s="60">
        <v>580332153</v>
      </c>
      <c r="C244" s="61" t="s">
        <v>764</v>
      </c>
      <c r="D244" s="61" t="s">
        <v>60</v>
      </c>
      <c r="E244" s="53">
        <v>36976</v>
      </c>
      <c r="F244" s="53">
        <v>14164</v>
      </c>
      <c r="G244" s="54">
        <f t="shared" si="19"/>
        <v>0.3830592816962354</v>
      </c>
      <c r="H244" s="62">
        <v>49229</v>
      </c>
      <c r="I244" s="63">
        <f t="shared" si="16"/>
        <v>25883.199999999997</v>
      </c>
      <c r="J244" s="63">
        <f t="shared" si="17"/>
        <v>39383.200000000004</v>
      </c>
      <c r="K244" s="172">
        <f t="shared" si="18"/>
        <v>25883</v>
      </c>
      <c r="L244" s="156"/>
      <c r="M244" s="173"/>
      <c r="N244" s="173"/>
      <c r="O244" s="190"/>
      <c r="P244" s="13"/>
    </row>
    <row r="245" spans="1:16" ht="15.75">
      <c r="A245">
        <v>240</v>
      </c>
      <c r="B245" s="60">
        <v>580332757</v>
      </c>
      <c r="C245" s="61" t="s">
        <v>567</v>
      </c>
      <c r="D245" s="65" t="s">
        <v>63</v>
      </c>
      <c r="E245" s="53">
        <v>12037.5</v>
      </c>
      <c r="F245" s="53">
        <v>6019</v>
      </c>
      <c r="G245" s="54">
        <f t="shared" si="19"/>
        <v>0.5000207684319834</v>
      </c>
      <c r="H245" s="62">
        <v>5190</v>
      </c>
      <c r="I245" s="63">
        <f t="shared" si="16"/>
        <v>8426.25</v>
      </c>
      <c r="J245" s="63">
        <f t="shared" si="17"/>
        <v>4152</v>
      </c>
      <c r="K245" s="172">
        <f t="shared" si="18"/>
        <v>0</v>
      </c>
      <c r="L245" s="156"/>
      <c r="M245" s="173"/>
      <c r="N245" s="173"/>
      <c r="O245" s="190"/>
      <c r="P245" s="13"/>
    </row>
    <row r="246" spans="1:16" ht="15.75">
      <c r="A246" s="13">
        <v>241</v>
      </c>
      <c r="B246" s="60">
        <v>580333045</v>
      </c>
      <c r="C246" s="61" t="s">
        <v>147</v>
      </c>
      <c r="D246" s="61" t="s">
        <v>60</v>
      </c>
      <c r="E246" s="53">
        <v>186893.5</v>
      </c>
      <c r="F246" s="53">
        <v>93447</v>
      </c>
      <c r="G246" s="54">
        <f t="shared" si="19"/>
        <v>0.5000013376602183</v>
      </c>
      <c r="H246" s="62">
        <v>355252</v>
      </c>
      <c r="I246" s="63">
        <f t="shared" si="16"/>
        <v>130825.45</v>
      </c>
      <c r="J246" s="63">
        <f t="shared" si="17"/>
        <v>284201.60000000003</v>
      </c>
      <c r="K246" s="172">
        <f t="shared" si="18"/>
        <v>130825</v>
      </c>
      <c r="L246" s="156"/>
      <c r="M246" s="173"/>
      <c r="N246" s="173"/>
      <c r="O246" s="190"/>
      <c r="P246" s="13"/>
    </row>
    <row r="247" spans="1:16" ht="15.75">
      <c r="A247">
        <v>242</v>
      </c>
      <c r="B247" s="61">
        <v>580334696</v>
      </c>
      <c r="C247" s="61" t="s">
        <v>354</v>
      </c>
      <c r="D247" s="61" t="s">
        <v>68</v>
      </c>
      <c r="E247" s="53">
        <v>36727.25</v>
      </c>
      <c r="F247" s="53">
        <v>18364</v>
      </c>
      <c r="G247" s="54">
        <f t="shared" si="19"/>
        <v>0.5000102104023579</v>
      </c>
      <c r="H247" s="62">
        <v>34344</v>
      </c>
      <c r="I247" s="63">
        <f t="shared" si="16"/>
        <v>25709.074999999997</v>
      </c>
      <c r="J247" s="63">
        <f t="shared" si="17"/>
        <v>27475.2</v>
      </c>
      <c r="K247" s="172">
        <f t="shared" si="18"/>
        <v>25709</v>
      </c>
      <c r="L247" s="156"/>
      <c r="M247" s="173"/>
      <c r="N247" s="173"/>
      <c r="O247" s="190"/>
      <c r="P247" s="13"/>
    </row>
    <row r="248" spans="1:16" ht="15.75">
      <c r="A248" s="13">
        <v>243</v>
      </c>
      <c r="B248" s="60">
        <v>580334738</v>
      </c>
      <c r="C248" s="61" t="s">
        <v>148</v>
      </c>
      <c r="D248" s="61" t="s">
        <v>60</v>
      </c>
      <c r="E248" s="53">
        <v>1159961.5</v>
      </c>
      <c r="F248" s="53">
        <v>579981</v>
      </c>
      <c r="G248" s="54">
        <f t="shared" si="19"/>
        <v>0.5000002155243946</v>
      </c>
      <c r="H248" s="62">
        <v>1128502</v>
      </c>
      <c r="I248" s="63">
        <f t="shared" si="16"/>
        <v>811973.0499999999</v>
      </c>
      <c r="J248" s="63">
        <f t="shared" si="17"/>
        <v>902801.6000000001</v>
      </c>
      <c r="K248" s="172">
        <f t="shared" si="18"/>
        <v>811973</v>
      </c>
      <c r="L248" s="156"/>
      <c r="M248" s="173"/>
      <c r="N248" s="173"/>
      <c r="O248" s="190"/>
      <c r="P248" s="13"/>
    </row>
    <row r="249" spans="1:16" ht="15.75">
      <c r="A249">
        <v>244</v>
      </c>
      <c r="B249" s="60">
        <v>580336154</v>
      </c>
      <c r="C249" s="61" t="s">
        <v>149</v>
      </c>
      <c r="D249" s="61" t="s">
        <v>60</v>
      </c>
      <c r="E249" s="53">
        <f>162048+70227</f>
        <v>232275</v>
      </c>
      <c r="F249" s="53">
        <f>81024+35113</f>
        <v>116137</v>
      </c>
      <c r="G249" s="54">
        <f t="shared" si="19"/>
        <v>0.4999978473791842</v>
      </c>
      <c r="H249" s="62">
        <f>132763+74020</f>
        <v>206783</v>
      </c>
      <c r="I249" s="63">
        <f t="shared" si="16"/>
        <v>162592.5</v>
      </c>
      <c r="J249" s="63">
        <f t="shared" si="17"/>
        <v>165426.40000000002</v>
      </c>
      <c r="K249" s="172">
        <f t="shared" si="18"/>
        <v>162593</v>
      </c>
      <c r="L249" s="156"/>
      <c r="M249" s="173"/>
      <c r="N249" s="173"/>
      <c r="O249" s="190"/>
      <c r="P249" s="13"/>
    </row>
    <row r="250" spans="1:16" ht="15.75">
      <c r="A250" s="13">
        <v>245</v>
      </c>
      <c r="B250" s="60">
        <v>580336303</v>
      </c>
      <c r="C250" s="61" t="s">
        <v>355</v>
      </c>
      <c r="D250" s="65" t="s">
        <v>63</v>
      </c>
      <c r="E250" s="53">
        <v>44043</v>
      </c>
      <c r="F250" s="53">
        <v>22022</v>
      </c>
      <c r="G250" s="54">
        <f t="shared" si="19"/>
        <v>0.5000113525418342</v>
      </c>
      <c r="H250" s="62">
        <v>42474</v>
      </c>
      <c r="I250" s="63">
        <f t="shared" si="16"/>
        <v>30830.1</v>
      </c>
      <c r="J250" s="63">
        <f t="shared" si="17"/>
        <v>33979.200000000004</v>
      </c>
      <c r="K250" s="172">
        <f t="shared" si="18"/>
        <v>30830</v>
      </c>
      <c r="L250" s="156"/>
      <c r="M250" s="173"/>
      <c r="N250" s="173"/>
      <c r="O250" s="190"/>
      <c r="P250" s="13"/>
    </row>
    <row r="251" spans="1:16" ht="15">
      <c r="A251">
        <v>246</v>
      </c>
      <c r="B251" s="89">
        <v>580337343</v>
      </c>
      <c r="C251" s="90" t="s">
        <v>356</v>
      </c>
      <c r="D251" s="90" t="s">
        <v>72</v>
      </c>
      <c r="E251" s="53">
        <v>10777.5</v>
      </c>
      <c r="F251" s="53">
        <v>5389</v>
      </c>
      <c r="G251" s="54">
        <f t="shared" si="19"/>
        <v>0.500023196474136</v>
      </c>
      <c r="H251" s="62">
        <v>12401</v>
      </c>
      <c r="I251" s="63">
        <f t="shared" si="16"/>
        <v>7544.249999999999</v>
      </c>
      <c r="J251" s="63">
        <f t="shared" si="17"/>
        <v>9920.800000000001</v>
      </c>
      <c r="K251" s="172">
        <f t="shared" si="18"/>
        <v>7544</v>
      </c>
      <c r="L251" s="156"/>
      <c r="M251" s="173"/>
      <c r="N251" s="173"/>
      <c r="O251" s="190"/>
      <c r="P251" s="13"/>
    </row>
    <row r="252" spans="1:16" ht="15.75">
      <c r="A252" s="13">
        <v>247</v>
      </c>
      <c r="B252" s="85">
        <v>580342822</v>
      </c>
      <c r="C252" s="61" t="s">
        <v>272</v>
      </c>
      <c r="D252" s="61" t="s">
        <v>60</v>
      </c>
      <c r="E252" s="53">
        <f>207140.25+314487</f>
        <v>521627.25</v>
      </c>
      <c r="F252" s="53">
        <f>103570+157244</f>
        <v>260814</v>
      </c>
      <c r="G252" s="54">
        <f t="shared" si="19"/>
        <v>0.50000071890416</v>
      </c>
      <c r="H252" s="62">
        <f>214030+350000</f>
        <v>564030</v>
      </c>
      <c r="I252" s="63">
        <f t="shared" si="16"/>
        <v>365139.07499999995</v>
      </c>
      <c r="J252" s="63">
        <f t="shared" si="17"/>
        <v>451224</v>
      </c>
      <c r="K252" s="172">
        <f t="shared" si="18"/>
        <v>365139</v>
      </c>
      <c r="L252" s="156"/>
      <c r="M252" s="173"/>
      <c r="N252" s="173"/>
      <c r="O252" s="190"/>
      <c r="P252" s="13"/>
    </row>
    <row r="253" spans="1:16" ht="15.75">
      <c r="A253">
        <v>248</v>
      </c>
      <c r="B253" s="60">
        <v>580343614</v>
      </c>
      <c r="C253" s="61" t="s">
        <v>150</v>
      </c>
      <c r="D253" s="61" t="s">
        <v>60</v>
      </c>
      <c r="E253" s="53">
        <v>70805.25</v>
      </c>
      <c r="F253" s="53">
        <v>35403</v>
      </c>
      <c r="G253" s="54">
        <f t="shared" si="19"/>
        <v>0.5000052962174415</v>
      </c>
      <c r="H253" s="62">
        <v>54232</v>
      </c>
      <c r="I253" s="63">
        <f t="shared" si="16"/>
        <v>49563.674999999996</v>
      </c>
      <c r="J253" s="63">
        <f t="shared" si="17"/>
        <v>43385.600000000006</v>
      </c>
      <c r="K253" s="172">
        <f t="shared" si="18"/>
        <v>43386</v>
      </c>
      <c r="L253" s="156"/>
      <c r="M253" s="173"/>
      <c r="N253" s="173"/>
      <c r="O253" s="190"/>
      <c r="P253" s="13"/>
    </row>
    <row r="254" spans="1:16" ht="15.75">
      <c r="A254" s="13">
        <v>249</v>
      </c>
      <c r="B254" s="60">
        <v>580344802</v>
      </c>
      <c r="C254" s="61" t="s">
        <v>694</v>
      </c>
      <c r="D254" s="65" t="s">
        <v>63</v>
      </c>
      <c r="E254" s="53">
        <v>192657</v>
      </c>
      <c r="F254" s="53">
        <v>77063</v>
      </c>
      <c r="G254" s="54">
        <f t="shared" si="19"/>
        <v>0.40000103811436905</v>
      </c>
      <c r="H254" s="62">
        <v>277042</v>
      </c>
      <c r="I254" s="63">
        <f t="shared" si="16"/>
        <v>134859.9</v>
      </c>
      <c r="J254" s="63">
        <f t="shared" si="17"/>
        <v>221633.6</v>
      </c>
      <c r="K254" s="172">
        <f t="shared" si="18"/>
        <v>134860</v>
      </c>
      <c r="L254" s="156"/>
      <c r="M254" s="173"/>
      <c r="N254" s="173"/>
      <c r="O254" s="190"/>
      <c r="P254" s="13"/>
    </row>
    <row r="255" spans="1:16" ht="15.75">
      <c r="A255">
        <v>250</v>
      </c>
      <c r="B255" s="60">
        <v>580345940</v>
      </c>
      <c r="C255" s="61" t="s">
        <v>441</v>
      </c>
      <c r="D255" s="65" t="s">
        <v>63</v>
      </c>
      <c r="E255" s="53">
        <v>290353.75</v>
      </c>
      <c r="F255" s="53">
        <v>145177</v>
      </c>
      <c r="G255" s="54">
        <f t="shared" si="19"/>
        <v>0.5000004305093356</v>
      </c>
      <c r="H255" s="62">
        <v>327667</v>
      </c>
      <c r="I255" s="63">
        <f t="shared" si="16"/>
        <v>203247.625</v>
      </c>
      <c r="J255" s="63">
        <f t="shared" si="17"/>
        <v>262133.6</v>
      </c>
      <c r="K255" s="172">
        <f t="shared" si="18"/>
        <v>203248</v>
      </c>
      <c r="L255" s="156"/>
      <c r="M255" s="173"/>
      <c r="N255" s="173"/>
      <c r="O255" s="190"/>
      <c r="P255" s="13"/>
    </row>
    <row r="256" spans="1:16" ht="15.75">
      <c r="A256" s="13">
        <v>251</v>
      </c>
      <c r="B256" s="60">
        <v>580345973</v>
      </c>
      <c r="C256" s="61" t="s">
        <v>442</v>
      </c>
      <c r="D256" s="65" t="s">
        <v>63</v>
      </c>
      <c r="E256" s="53">
        <v>162627</v>
      </c>
      <c r="F256" s="53">
        <v>81314</v>
      </c>
      <c r="G256" s="54">
        <f t="shared" si="19"/>
        <v>0.5000030745202211</v>
      </c>
      <c r="H256" s="62">
        <v>198294</v>
      </c>
      <c r="I256" s="63">
        <f t="shared" si="16"/>
        <v>113838.9</v>
      </c>
      <c r="J256" s="63">
        <f t="shared" si="17"/>
        <v>158635.2</v>
      </c>
      <c r="K256" s="172">
        <f t="shared" si="18"/>
        <v>113839</v>
      </c>
      <c r="L256" s="156"/>
      <c r="M256" s="173"/>
      <c r="N256" s="173"/>
      <c r="O256" s="190"/>
      <c r="P256" s="13"/>
    </row>
    <row r="257" spans="1:16" ht="15.75">
      <c r="A257">
        <v>252</v>
      </c>
      <c r="B257" s="60">
        <v>580346476</v>
      </c>
      <c r="C257" s="61" t="s">
        <v>151</v>
      </c>
      <c r="D257" s="65" t="s">
        <v>63</v>
      </c>
      <c r="E257" s="53">
        <f>396338.5+75922</f>
        <v>472260.5</v>
      </c>
      <c r="F257" s="53">
        <f>198169+21399</f>
        <v>219568</v>
      </c>
      <c r="G257" s="54">
        <f t="shared" si="19"/>
        <v>0.46492984274568805</v>
      </c>
      <c r="H257" s="62">
        <f>417904+28519</f>
        <v>446423</v>
      </c>
      <c r="I257" s="63">
        <f t="shared" si="16"/>
        <v>330582.35</v>
      </c>
      <c r="J257" s="63">
        <f t="shared" si="17"/>
        <v>357138.4</v>
      </c>
      <c r="K257" s="172">
        <f t="shared" si="18"/>
        <v>330582</v>
      </c>
      <c r="L257" s="156"/>
      <c r="M257" s="173"/>
      <c r="N257" s="173"/>
      <c r="O257" s="190"/>
      <c r="P257" s="13"/>
    </row>
    <row r="258" spans="1:16" ht="15">
      <c r="A258" s="13">
        <v>253</v>
      </c>
      <c r="B258" s="66">
        <v>580346542</v>
      </c>
      <c r="C258" s="16" t="s">
        <v>152</v>
      </c>
      <c r="D258" s="16" t="s">
        <v>72</v>
      </c>
      <c r="E258" s="53">
        <v>1309.5</v>
      </c>
      <c r="F258" s="53">
        <v>655</v>
      </c>
      <c r="G258" s="54">
        <f t="shared" si="19"/>
        <v>0.5001909125620466</v>
      </c>
      <c r="H258" s="62">
        <v>660</v>
      </c>
      <c r="I258" s="63">
        <f t="shared" si="16"/>
        <v>916.65</v>
      </c>
      <c r="J258" s="63">
        <f t="shared" si="17"/>
        <v>528</v>
      </c>
      <c r="K258" s="172">
        <f t="shared" si="18"/>
        <v>0</v>
      </c>
      <c r="L258" s="156"/>
      <c r="M258" s="173"/>
      <c r="N258" s="173"/>
      <c r="O258" s="190"/>
      <c r="P258" s="13"/>
    </row>
    <row r="259" spans="1:16" ht="15.75">
      <c r="A259">
        <v>254</v>
      </c>
      <c r="B259" s="108">
        <v>580346716</v>
      </c>
      <c r="C259" s="61" t="s">
        <v>755</v>
      </c>
      <c r="D259" s="61" t="s">
        <v>72</v>
      </c>
      <c r="E259" s="53">
        <v>10791.25</v>
      </c>
      <c r="F259" s="53">
        <v>5396</v>
      </c>
      <c r="G259" s="54">
        <f t="shared" si="19"/>
        <v>0.5000347503764624</v>
      </c>
      <c r="H259" s="62">
        <v>11426</v>
      </c>
      <c r="I259" s="63">
        <f t="shared" si="16"/>
        <v>7553.874999999999</v>
      </c>
      <c r="J259" s="63">
        <f t="shared" si="17"/>
        <v>9140.800000000001</v>
      </c>
      <c r="K259" s="172">
        <f t="shared" si="18"/>
        <v>7554</v>
      </c>
      <c r="L259" s="156"/>
      <c r="M259" s="173"/>
      <c r="N259" s="173"/>
      <c r="O259" s="190"/>
      <c r="P259" s="13"/>
    </row>
    <row r="260" spans="1:16" ht="15.75">
      <c r="A260" s="13">
        <v>255</v>
      </c>
      <c r="B260" s="108">
        <v>580347425</v>
      </c>
      <c r="C260" s="61" t="s">
        <v>749</v>
      </c>
      <c r="D260" s="61" t="s">
        <v>63</v>
      </c>
      <c r="E260" s="53">
        <v>17443</v>
      </c>
      <c r="F260" s="53">
        <v>8722</v>
      </c>
      <c r="G260" s="54">
        <f t="shared" si="19"/>
        <v>0.5000286647939002</v>
      </c>
      <c r="H260" s="62">
        <v>25138</v>
      </c>
      <c r="I260" s="63">
        <f t="shared" si="16"/>
        <v>12210.099999999999</v>
      </c>
      <c r="J260" s="63">
        <f t="shared" si="17"/>
        <v>20110.4</v>
      </c>
      <c r="K260" s="172">
        <f t="shared" si="18"/>
        <v>12210</v>
      </c>
      <c r="L260" s="156"/>
      <c r="M260" s="173"/>
      <c r="N260" s="173"/>
      <c r="O260" s="190"/>
      <c r="P260" s="13"/>
    </row>
    <row r="261" spans="1:16" ht="15.75">
      <c r="A261">
        <v>256</v>
      </c>
      <c r="B261" s="60">
        <v>580347532</v>
      </c>
      <c r="C261" s="61" t="s">
        <v>357</v>
      </c>
      <c r="D261" s="65" t="s">
        <v>63</v>
      </c>
      <c r="E261" s="53">
        <v>227597.75</v>
      </c>
      <c r="F261" s="53">
        <v>113799</v>
      </c>
      <c r="G261" s="54">
        <f t="shared" si="19"/>
        <v>0.5000005492145683</v>
      </c>
      <c r="H261" s="62">
        <v>281057</v>
      </c>
      <c r="I261" s="63">
        <f aca="true" t="shared" si="20" ref="I261:I324">E261*$I$2</f>
        <v>159318.425</v>
      </c>
      <c r="J261" s="63">
        <f aca="true" t="shared" si="21" ref="J261:J324">H261*$J$2</f>
        <v>224845.6</v>
      </c>
      <c r="K261" s="172">
        <f aca="true" t="shared" si="22" ref="K261:K324">ROUND(IF(IF(MIN(I261,J261)&lt;F261,MIN(I261,J261)-F261,MIN(I261,J261))&lt;0,0,IF(MIN(I261,J261)&lt;F261,MIN(I261,J261)-F261,MIN(I261,J261))),0)</f>
        <v>159318</v>
      </c>
      <c r="L261" s="156"/>
      <c r="M261" s="173"/>
      <c r="N261" s="173"/>
      <c r="O261" s="190"/>
      <c r="P261" s="13"/>
    </row>
    <row r="262" spans="1:16" ht="15.75">
      <c r="A262" s="13">
        <v>257</v>
      </c>
      <c r="B262" s="60">
        <v>580348480</v>
      </c>
      <c r="C262" s="61" t="s">
        <v>153</v>
      </c>
      <c r="D262" s="65" t="s">
        <v>63</v>
      </c>
      <c r="E262" s="53">
        <v>73655.75</v>
      </c>
      <c r="F262" s="53">
        <v>29462</v>
      </c>
      <c r="G262" s="54">
        <f t="shared" si="19"/>
        <v>0.39999592699823167</v>
      </c>
      <c r="H262" s="62">
        <v>87285</v>
      </c>
      <c r="I262" s="63">
        <f t="shared" si="20"/>
        <v>51559.024999999994</v>
      </c>
      <c r="J262" s="63">
        <f t="shared" si="21"/>
        <v>69828</v>
      </c>
      <c r="K262" s="172">
        <f t="shared" si="22"/>
        <v>51559</v>
      </c>
      <c r="L262" s="156"/>
      <c r="M262" s="173"/>
      <c r="N262" s="173"/>
      <c r="O262" s="190"/>
      <c r="P262" s="13"/>
    </row>
    <row r="263" spans="1:16" ht="15">
      <c r="A263">
        <v>258</v>
      </c>
      <c r="B263" s="89">
        <v>580348886</v>
      </c>
      <c r="C263" s="90" t="s">
        <v>358</v>
      </c>
      <c r="D263" s="90" t="s">
        <v>72</v>
      </c>
      <c r="E263" s="53">
        <v>6093.5</v>
      </c>
      <c r="F263" s="53">
        <v>3047</v>
      </c>
      <c r="G263" s="54">
        <f t="shared" si="19"/>
        <v>0.5000410273241979</v>
      </c>
      <c r="H263" s="62">
        <v>3438</v>
      </c>
      <c r="I263" s="63">
        <f t="shared" si="20"/>
        <v>4265.45</v>
      </c>
      <c r="J263" s="63">
        <f t="shared" si="21"/>
        <v>2750.4</v>
      </c>
      <c r="K263" s="172">
        <f t="shared" si="22"/>
        <v>0</v>
      </c>
      <c r="L263" s="156"/>
      <c r="M263" s="173"/>
      <c r="N263" s="173"/>
      <c r="O263" s="190"/>
      <c r="P263" s="13"/>
    </row>
    <row r="264" spans="1:16" ht="15.75">
      <c r="A264" s="13">
        <v>259</v>
      </c>
      <c r="B264" s="108">
        <v>580348944</v>
      </c>
      <c r="C264" s="61" t="s">
        <v>756</v>
      </c>
      <c r="D264" s="61" t="s">
        <v>63</v>
      </c>
      <c r="E264" s="53">
        <v>30051</v>
      </c>
      <c r="F264" s="53">
        <v>15026</v>
      </c>
      <c r="G264" s="54">
        <f t="shared" si="19"/>
        <v>0.5000166383814183</v>
      </c>
      <c r="H264" s="62">
        <v>35612</v>
      </c>
      <c r="I264" s="63">
        <f t="shared" si="20"/>
        <v>21035.699999999997</v>
      </c>
      <c r="J264" s="63">
        <f t="shared" si="21"/>
        <v>28489.600000000002</v>
      </c>
      <c r="K264" s="172">
        <f t="shared" si="22"/>
        <v>21036</v>
      </c>
      <c r="L264" s="156"/>
      <c r="M264" s="173"/>
      <c r="N264" s="173"/>
      <c r="O264" s="190"/>
      <c r="P264" s="13"/>
    </row>
    <row r="265" spans="1:16" ht="15.75">
      <c r="A265">
        <v>260</v>
      </c>
      <c r="B265" s="60">
        <v>580349355</v>
      </c>
      <c r="C265" s="61" t="s">
        <v>154</v>
      </c>
      <c r="D265" s="61" t="s">
        <v>60</v>
      </c>
      <c r="E265" s="53">
        <f>582656.75+75922</f>
        <v>658578.75</v>
      </c>
      <c r="F265" s="53">
        <f>291328+21399</f>
        <v>312727</v>
      </c>
      <c r="G265" s="54">
        <f t="shared" si="19"/>
        <v>0.47485133706485366</v>
      </c>
      <c r="H265" s="62">
        <f>405082+28519</f>
        <v>433601</v>
      </c>
      <c r="I265" s="63">
        <f t="shared" si="20"/>
        <v>461005.12499999994</v>
      </c>
      <c r="J265" s="63">
        <f t="shared" si="21"/>
        <v>346880.80000000005</v>
      </c>
      <c r="K265" s="172">
        <f t="shared" si="22"/>
        <v>346881</v>
      </c>
      <c r="L265" s="156"/>
      <c r="M265" s="173"/>
      <c r="N265" s="173"/>
      <c r="O265" s="190"/>
      <c r="P265" s="13"/>
    </row>
    <row r="266" spans="1:16" ht="15.75">
      <c r="A266" s="13">
        <v>261</v>
      </c>
      <c r="B266" s="60">
        <v>580350759</v>
      </c>
      <c r="C266" s="61" t="s">
        <v>515</v>
      </c>
      <c r="D266" s="65" t="s">
        <v>63</v>
      </c>
      <c r="E266" s="53">
        <v>321225</v>
      </c>
      <c r="F266" s="53">
        <v>160613</v>
      </c>
      <c r="G266" s="54">
        <f t="shared" si="19"/>
        <v>0.5000015565413651</v>
      </c>
      <c r="H266" s="62">
        <v>290755</v>
      </c>
      <c r="I266" s="63">
        <f t="shared" si="20"/>
        <v>224857.5</v>
      </c>
      <c r="J266" s="63">
        <f t="shared" si="21"/>
        <v>232604</v>
      </c>
      <c r="K266" s="172">
        <f t="shared" si="22"/>
        <v>224858</v>
      </c>
      <c r="L266" s="156"/>
      <c r="M266" s="173"/>
      <c r="N266" s="173"/>
      <c r="O266" s="190"/>
      <c r="P266" s="13"/>
    </row>
    <row r="267" spans="1:16" ht="15.75">
      <c r="A267">
        <v>262</v>
      </c>
      <c r="B267" s="60">
        <v>580351021</v>
      </c>
      <c r="C267" s="61" t="s">
        <v>155</v>
      </c>
      <c r="D267" s="61" t="s">
        <v>60</v>
      </c>
      <c r="E267" s="53">
        <f>543848.25+70227</f>
        <v>614075.25</v>
      </c>
      <c r="F267" s="53">
        <f>271924+35114</f>
        <v>307038</v>
      </c>
      <c r="G267" s="54">
        <f t="shared" si="19"/>
        <v>0.5000006106743432</v>
      </c>
      <c r="H267" s="62">
        <f>336632+67291</f>
        <v>403923</v>
      </c>
      <c r="I267" s="63">
        <f t="shared" si="20"/>
        <v>429852.675</v>
      </c>
      <c r="J267" s="63">
        <f t="shared" si="21"/>
        <v>323138.4</v>
      </c>
      <c r="K267" s="172">
        <f t="shared" si="22"/>
        <v>323138</v>
      </c>
      <c r="L267" s="156"/>
      <c r="M267" s="173"/>
      <c r="N267" s="173"/>
      <c r="O267" s="190"/>
      <c r="P267" s="13"/>
    </row>
    <row r="268" spans="1:16" ht="15.75">
      <c r="A268" s="13">
        <v>263</v>
      </c>
      <c r="B268" s="60">
        <v>580351716</v>
      </c>
      <c r="C268" s="61" t="s">
        <v>443</v>
      </c>
      <c r="D268" s="61" t="s">
        <v>60</v>
      </c>
      <c r="E268" s="53">
        <v>32261</v>
      </c>
      <c r="F268" s="53">
        <v>16131</v>
      </c>
      <c r="G268" s="54">
        <f t="shared" si="19"/>
        <v>0.5000154985896283</v>
      </c>
      <c r="H268" s="62">
        <v>38231</v>
      </c>
      <c r="I268" s="63">
        <f t="shared" si="20"/>
        <v>22582.699999999997</v>
      </c>
      <c r="J268" s="63">
        <f t="shared" si="21"/>
        <v>30584.800000000003</v>
      </c>
      <c r="K268" s="172">
        <f t="shared" si="22"/>
        <v>22583</v>
      </c>
      <c r="L268" s="156"/>
      <c r="M268" s="173"/>
      <c r="N268" s="173"/>
      <c r="O268" s="190"/>
      <c r="P268" s="13"/>
    </row>
    <row r="269" spans="1:16" ht="15.75">
      <c r="A269">
        <v>264</v>
      </c>
      <c r="B269" s="60">
        <v>580352441</v>
      </c>
      <c r="C269" s="61" t="s">
        <v>595</v>
      </c>
      <c r="D269" s="61" t="s">
        <v>60</v>
      </c>
      <c r="E269" s="53">
        <v>49385.25</v>
      </c>
      <c r="F269" s="53">
        <v>24693</v>
      </c>
      <c r="G269" s="54">
        <f t="shared" si="19"/>
        <v>0.5000075933603657</v>
      </c>
      <c r="H269" s="62">
        <v>54640</v>
      </c>
      <c r="I269" s="63">
        <f t="shared" si="20"/>
        <v>34569.674999999996</v>
      </c>
      <c r="J269" s="63">
        <f t="shared" si="21"/>
        <v>43712</v>
      </c>
      <c r="K269" s="172">
        <f t="shared" si="22"/>
        <v>34570</v>
      </c>
      <c r="L269" s="156"/>
      <c r="M269" s="173"/>
      <c r="N269" s="173"/>
      <c r="O269" s="190"/>
      <c r="P269" s="13"/>
    </row>
    <row r="270" spans="1:16" ht="15.75">
      <c r="A270" s="13">
        <v>265</v>
      </c>
      <c r="B270" s="101">
        <v>580352540</v>
      </c>
      <c r="C270" s="104" t="s">
        <v>663</v>
      </c>
      <c r="D270" s="103" t="s">
        <v>94</v>
      </c>
      <c r="E270" s="53">
        <v>580949</v>
      </c>
      <c r="F270" s="53">
        <v>290475</v>
      </c>
      <c r="G270" s="54">
        <f t="shared" si="19"/>
        <v>0.5000008606607464</v>
      </c>
      <c r="H270" s="62">
        <v>501107</v>
      </c>
      <c r="I270" s="63">
        <f t="shared" si="20"/>
        <v>406664.3</v>
      </c>
      <c r="J270" s="63">
        <f t="shared" si="21"/>
        <v>400885.60000000003</v>
      </c>
      <c r="K270" s="172">
        <f t="shared" si="22"/>
        <v>400886</v>
      </c>
      <c r="L270" s="156"/>
      <c r="M270" s="173"/>
      <c r="N270" s="173"/>
      <c r="O270" s="190"/>
      <c r="P270" s="13"/>
    </row>
    <row r="271" spans="1:16" ht="15.75">
      <c r="A271">
        <v>266</v>
      </c>
      <c r="B271" s="60">
        <v>580352771</v>
      </c>
      <c r="C271" s="61" t="s">
        <v>156</v>
      </c>
      <c r="D271" s="61" t="s">
        <v>60</v>
      </c>
      <c r="E271" s="53">
        <v>93005.20000000001</v>
      </c>
      <c r="F271" s="53">
        <v>46503</v>
      </c>
      <c r="G271" s="54">
        <f t="shared" si="19"/>
        <v>0.500004300834792</v>
      </c>
      <c r="H271" s="62">
        <v>171666</v>
      </c>
      <c r="I271" s="63">
        <f t="shared" si="20"/>
        <v>65103.64000000001</v>
      </c>
      <c r="J271" s="63">
        <f t="shared" si="21"/>
        <v>137332.80000000002</v>
      </c>
      <c r="K271" s="172">
        <f t="shared" si="22"/>
        <v>65104</v>
      </c>
      <c r="L271" s="156"/>
      <c r="M271" s="173"/>
      <c r="N271" s="173"/>
      <c r="O271" s="190"/>
      <c r="P271" s="13"/>
    </row>
    <row r="272" spans="1:16" ht="15.75">
      <c r="A272" s="13">
        <v>267</v>
      </c>
      <c r="B272" s="61">
        <v>580352797</v>
      </c>
      <c r="C272" s="78" t="s">
        <v>157</v>
      </c>
      <c r="D272" s="68" t="s">
        <v>94</v>
      </c>
      <c r="E272" s="53">
        <v>76320.75</v>
      </c>
      <c r="F272" s="53">
        <v>38160</v>
      </c>
      <c r="G272" s="54">
        <f t="shared" si="19"/>
        <v>0.49999508652627234</v>
      </c>
      <c r="H272" s="62">
        <v>59337</v>
      </c>
      <c r="I272" s="63">
        <f t="shared" si="20"/>
        <v>53424.524999999994</v>
      </c>
      <c r="J272" s="63">
        <f t="shared" si="21"/>
        <v>47469.600000000006</v>
      </c>
      <c r="K272" s="172">
        <f t="shared" si="22"/>
        <v>47470</v>
      </c>
      <c r="L272" s="156"/>
      <c r="M272" s="173"/>
      <c r="N272" s="173"/>
      <c r="O272" s="190"/>
      <c r="P272" s="13"/>
    </row>
    <row r="273" spans="1:16" ht="15.75">
      <c r="A273">
        <v>268</v>
      </c>
      <c r="B273" s="60">
        <v>580353076</v>
      </c>
      <c r="C273" s="61" t="s">
        <v>273</v>
      </c>
      <c r="D273" s="65" t="s">
        <v>63</v>
      </c>
      <c r="E273" s="53">
        <v>373892</v>
      </c>
      <c r="F273" s="53">
        <v>186946</v>
      </c>
      <c r="G273" s="54">
        <f t="shared" si="19"/>
        <v>0.5</v>
      </c>
      <c r="H273" s="62">
        <v>189479</v>
      </c>
      <c r="I273" s="63">
        <f t="shared" si="20"/>
        <v>261724.4</v>
      </c>
      <c r="J273" s="63">
        <f t="shared" si="21"/>
        <v>151583.2</v>
      </c>
      <c r="K273" s="172">
        <f t="shared" si="22"/>
        <v>0</v>
      </c>
      <c r="L273" s="156"/>
      <c r="M273" s="173"/>
      <c r="N273" s="173"/>
      <c r="O273" s="190"/>
      <c r="P273" s="13"/>
    </row>
    <row r="274" spans="1:16" ht="15">
      <c r="A274" s="13">
        <v>269</v>
      </c>
      <c r="B274" s="70">
        <v>580353233</v>
      </c>
      <c r="C274" s="65" t="s">
        <v>158</v>
      </c>
      <c r="D274" s="65" t="s">
        <v>63</v>
      </c>
      <c r="E274" s="53">
        <v>173041</v>
      </c>
      <c r="F274" s="53">
        <v>86521</v>
      </c>
      <c r="G274" s="54">
        <f t="shared" si="19"/>
        <v>0.5000028894886183</v>
      </c>
      <c r="H274" s="62">
        <v>145879</v>
      </c>
      <c r="I274" s="63">
        <f t="shared" si="20"/>
        <v>121128.7</v>
      </c>
      <c r="J274" s="63">
        <f t="shared" si="21"/>
        <v>116703.20000000001</v>
      </c>
      <c r="K274" s="172">
        <f t="shared" si="22"/>
        <v>116703</v>
      </c>
      <c r="L274" s="156"/>
      <c r="M274" s="173"/>
      <c r="N274" s="173"/>
      <c r="O274" s="190"/>
      <c r="P274" s="13"/>
    </row>
    <row r="275" spans="1:16" ht="15.75">
      <c r="A275">
        <v>270</v>
      </c>
      <c r="B275" s="85">
        <v>580353357</v>
      </c>
      <c r="C275" s="61" t="s">
        <v>359</v>
      </c>
      <c r="D275" s="61" t="s">
        <v>72</v>
      </c>
      <c r="E275" s="53">
        <v>42618</v>
      </c>
      <c r="F275" s="53">
        <v>19795</v>
      </c>
      <c r="G275" s="54">
        <f t="shared" si="19"/>
        <v>0.46447510441597445</v>
      </c>
      <c r="H275" s="62">
        <v>73038</v>
      </c>
      <c r="I275" s="63">
        <f t="shared" si="20"/>
        <v>29832.6</v>
      </c>
      <c r="J275" s="63">
        <f t="shared" si="21"/>
        <v>58430.4</v>
      </c>
      <c r="K275" s="172">
        <f t="shared" si="22"/>
        <v>29833</v>
      </c>
      <c r="L275" s="156"/>
      <c r="M275" s="173"/>
      <c r="N275" s="173"/>
      <c r="O275" s="190"/>
      <c r="P275" s="13"/>
    </row>
    <row r="276" spans="1:16" ht="15">
      <c r="A276" s="13">
        <v>271</v>
      </c>
      <c r="B276" s="66">
        <v>580353373</v>
      </c>
      <c r="C276" s="16" t="s">
        <v>737</v>
      </c>
      <c r="D276" s="16" t="s">
        <v>72</v>
      </c>
      <c r="E276" s="53">
        <v>197887.75</v>
      </c>
      <c r="F276" s="53">
        <v>98944</v>
      </c>
      <c r="G276" s="54">
        <f t="shared" si="19"/>
        <v>0.5000006316712379</v>
      </c>
      <c r="H276" s="62">
        <v>201669</v>
      </c>
      <c r="I276" s="63">
        <f t="shared" si="20"/>
        <v>138521.425</v>
      </c>
      <c r="J276" s="63">
        <f t="shared" si="21"/>
        <v>161335.2</v>
      </c>
      <c r="K276" s="172">
        <f t="shared" si="22"/>
        <v>138521</v>
      </c>
      <c r="L276" s="156"/>
      <c r="M276" s="173"/>
      <c r="N276" s="173"/>
      <c r="O276" s="190"/>
      <c r="P276" s="13"/>
    </row>
    <row r="277" spans="1:16" ht="15">
      <c r="A277">
        <v>272</v>
      </c>
      <c r="B277" s="66">
        <v>580353381</v>
      </c>
      <c r="C277" s="16" t="s">
        <v>695</v>
      </c>
      <c r="D277" s="16" t="s">
        <v>72</v>
      </c>
      <c r="E277" s="53">
        <v>475932.75</v>
      </c>
      <c r="F277" s="53">
        <v>190373</v>
      </c>
      <c r="G277" s="54">
        <f t="shared" si="19"/>
        <v>0.3999997898862812</v>
      </c>
      <c r="H277" s="62">
        <v>430483</v>
      </c>
      <c r="I277" s="63">
        <f t="shared" si="20"/>
        <v>333152.925</v>
      </c>
      <c r="J277" s="63">
        <f t="shared" si="21"/>
        <v>344386.4</v>
      </c>
      <c r="K277" s="172">
        <f t="shared" si="22"/>
        <v>333153</v>
      </c>
      <c r="L277" s="156"/>
      <c r="M277" s="173"/>
      <c r="N277" s="173"/>
      <c r="O277" s="190"/>
      <c r="P277" s="13"/>
    </row>
    <row r="278" spans="1:16" ht="15.75">
      <c r="A278" s="13">
        <v>273</v>
      </c>
      <c r="B278" s="60">
        <v>580353670</v>
      </c>
      <c r="C278" s="61" t="s">
        <v>360</v>
      </c>
      <c r="D278" s="65" t="s">
        <v>63</v>
      </c>
      <c r="E278" s="53">
        <v>68090.5</v>
      </c>
      <c r="F278" s="53">
        <v>34045</v>
      </c>
      <c r="G278" s="54">
        <f t="shared" si="19"/>
        <v>0.4999963284158583</v>
      </c>
      <c r="H278" s="62">
        <v>70824</v>
      </c>
      <c r="I278" s="63">
        <f t="shared" si="20"/>
        <v>47663.35</v>
      </c>
      <c r="J278" s="63">
        <f t="shared" si="21"/>
        <v>56659.200000000004</v>
      </c>
      <c r="K278" s="172">
        <f t="shared" si="22"/>
        <v>47663</v>
      </c>
      <c r="L278" s="156"/>
      <c r="M278" s="173"/>
      <c r="N278" s="173"/>
      <c r="O278" s="190"/>
      <c r="P278" s="13"/>
    </row>
    <row r="279" spans="1:16" ht="15.75">
      <c r="A279">
        <v>274</v>
      </c>
      <c r="B279" s="60">
        <v>580354546</v>
      </c>
      <c r="C279" s="61" t="s">
        <v>444</v>
      </c>
      <c r="D279" s="65" t="s">
        <v>63</v>
      </c>
      <c r="E279" s="53">
        <v>95071</v>
      </c>
      <c r="F279" s="53">
        <v>47536</v>
      </c>
      <c r="G279" s="54">
        <f t="shared" si="19"/>
        <v>0.5000052592273143</v>
      </c>
      <c r="H279" s="62">
        <v>113585</v>
      </c>
      <c r="I279" s="63">
        <f t="shared" si="20"/>
        <v>66549.7</v>
      </c>
      <c r="J279" s="63">
        <f t="shared" si="21"/>
        <v>90868</v>
      </c>
      <c r="K279" s="172">
        <f t="shared" si="22"/>
        <v>66550</v>
      </c>
      <c r="L279" s="156"/>
      <c r="M279" s="173"/>
      <c r="N279" s="173"/>
      <c r="O279" s="190"/>
      <c r="P279" s="13"/>
    </row>
    <row r="280" spans="1:16" ht="15.75">
      <c r="A280" s="13">
        <v>275</v>
      </c>
      <c r="B280" s="60">
        <v>580354991</v>
      </c>
      <c r="C280" s="61" t="s">
        <v>159</v>
      </c>
      <c r="D280" s="65" t="s">
        <v>63</v>
      </c>
      <c r="E280" s="53">
        <v>588179.75</v>
      </c>
      <c r="F280" s="53">
        <v>294090</v>
      </c>
      <c r="G280" s="54">
        <f t="shared" si="19"/>
        <v>0.5000002125200672</v>
      </c>
      <c r="H280" s="62">
        <v>640820</v>
      </c>
      <c r="I280" s="63">
        <f t="shared" si="20"/>
        <v>411725.82499999995</v>
      </c>
      <c r="J280" s="63">
        <f t="shared" si="21"/>
        <v>512656</v>
      </c>
      <c r="K280" s="172">
        <f t="shared" si="22"/>
        <v>411726</v>
      </c>
      <c r="L280" s="156"/>
      <c r="M280" s="173"/>
      <c r="N280" s="173"/>
      <c r="O280" s="190"/>
      <c r="P280" s="13"/>
    </row>
    <row r="281" spans="1:16" ht="15.75">
      <c r="A281">
        <v>276</v>
      </c>
      <c r="B281" s="60">
        <v>580355014</v>
      </c>
      <c r="C281" s="61" t="s">
        <v>696</v>
      </c>
      <c r="D281" s="65" t="s">
        <v>63</v>
      </c>
      <c r="E281" s="53">
        <v>77928.75</v>
      </c>
      <c r="F281" s="53">
        <v>38964</v>
      </c>
      <c r="G281" s="54">
        <f t="shared" si="19"/>
        <v>0.499995187912035</v>
      </c>
      <c r="H281" s="62">
        <v>92347</v>
      </c>
      <c r="I281" s="63">
        <f t="shared" si="20"/>
        <v>54550.125</v>
      </c>
      <c r="J281" s="63">
        <f t="shared" si="21"/>
        <v>73877.6</v>
      </c>
      <c r="K281" s="172">
        <f t="shared" si="22"/>
        <v>54550</v>
      </c>
      <c r="L281" s="156"/>
      <c r="M281" s="173"/>
      <c r="N281" s="173"/>
      <c r="O281" s="190"/>
      <c r="P281" s="13"/>
    </row>
    <row r="282" spans="1:16" ht="15.75">
      <c r="A282" s="13">
        <v>277</v>
      </c>
      <c r="B282" s="60">
        <v>580355030</v>
      </c>
      <c r="C282" s="61" t="s">
        <v>274</v>
      </c>
      <c r="D282" s="65" t="s">
        <v>63</v>
      </c>
      <c r="E282" s="53">
        <v>106065.5</v>
      </c>
      <c r="F282" s="53">
        <v>53033</v>
      </c>
      <c r="G282" s="54">
        <f t="shared" si="19"/>
        <v>0.5000023570340969</v>
      </c>
      <c r="H282" s="62">
        <v>125690</v>
      </c>
      <c r="I282" s="63">
        <f t="shared" si="20"/>
        <v>74245.84999999999</v>
      </c>
      <c r="J282" s="63">
        <f t="shared" si="21"/>
        <v>100552</v>
      </c>
      <c r="K282" s="172">
        <f t="shared" si="22"/>
        <v>74246</v>
      </c>
      <c r="L282" s="156"/>
      <c r="M282" s="173"/>
      <c r="N282" s="173"/>
      <c r="O282" s="190"/>
      <c r="P282" s="13"/>
    </row>
    <row r="283" spans="1:16" ht="15.75">
      <c r="A283">
        <v>278</v>
      </c>
      <c r="B283" s="60">
        <v>580355048</v>
      </c>
      <c r="C283" s="153" t="s">
        <v>725</v>
      </c>
      <c r="D283" s="16" t="s">
        <v>63</v>
      </c>
      <c r="E283" s="53">
        <v>41741</v>
      </c>
      <c r="F283" s="53">
        <v>20871</v>
      </c>
      <c r="G283" s="54">
        <f t="shared" si="19"/>
        <v>0.5000119786301238</v>
      </c>
      <c r="H283" s="62">
        <v>60052</v>
      </c>
      <c r="I283" s="63">
        <f t="shared" si="20"/>
        <v>29218.699999999997</v>
      </c>
      <c r="J283" s="63">
        <f t="shared" si="21"/>
        <v>48041.600000000006</v>
      </c>
      <c r="K283" s="172">
        <f t="shared" si="22"/>
        <v>29219</v>
      </c>
      <c r="L283" s="156"/>
      <c r="M283" s="173"/>
      <c r="N283" s="173"/>
      <c r="O283" s="190"/>
      <c r="P283" s="13"/>
    </row>
    <row r="284" spans="1:16" ht="15.75">
      <c r="A284" s="13">
        <v>279</v>
      </c>
      <c r="B284" s="60">
        <v>580355055</v>
      </c>
      <c r="C284" s="61" t="s">
        <v>275</v>
      </c>
      <c r="D284" s="65" t="s">
        <v>63</v>
      </c>
      <c r="E284" s="53">
        <v>29955</v>
      </c>
      <c r="F284" s="53">
        <v>14978</v>
      </c>
      <c r="G284" s="54">
        <f t="shared" si="19"/>
        <v>0.500016691704223</v>
      </c>
      <c r="H284" s="62">
        <v>20935</v>
      </c>
      <c r="I284" s="63">
        <f t="shared" si="20"/>
        <v>20968.5</v>
      </c>
      <c r="J284" s="63">
        <f t="shared" si="21"/>
        <v>16748</v>
      </c>
      <c r="K284" s="172">
        <f t="shared" si="22"/>
        <v>16748</v>
      </c>
      <c r="L284" s="156"/>
      <c r="M284" s="173"/>
      <c r="N284" s="173"/>
      <c r="O284" s="190"/>
      <c r="P284" s="13"/>
    </row>
    <row r="285" spans="1:16" ht="15.75">
      <c r="A285">
        <v>280</v>
      </c>
      <c r="B285" s="60">
        <v>580355782</v>
      </c>
      <c r="C285" s="61" t="s">
        <v>361</v>
      </c>
      <c r="D285" s="61" t="s">
        <v>60</v>
      </c>
      <c r="E285" s="53">
        <v>55390</v>
      </c>
      <c r="F285" s="53">
        <v>27695</v>
      </c>
      <c r="G285" s="54">
        <f t="shared" si="19"/>
        <v>0.5</v>
      </c>
      <c r="H285" s="62">
        <v>65638</v>
      </c>
      <c r="I285" s="63">
        <f t="shared" si="20"/>
        <v>38773</v>
      </c>
      <c r="J285" s="63">
        <f t="shared" si="21"/>
        <v>52510.4</v>
      </c>
      <c r="K285" s="172">
        <f t="shared" si="22"/>
        <v>38773</v>
      </c>
      <c r="L285" s="156"/>
      <c r="M285" s="173"/>
      <c r="N285" s="173"/>
      <c r="O285" s="190"/>
      <c r="P285" s="13"/>
    </row>
    <row r="286" spans="1:16" ht="15.75">
      <c r="A286" s="13">
        <v>281</v>
      </c>
      <c r="B286" s="60">
        <v>580356988</v>
      </c>
      <c r="C286" s="61" t="s">
        <v>445</v>
      </c>
      <c r="D286" s="65" t="s">
        <v>63</v>
      </c>
      <c r="E286" s="53">
        <v>83743.5</v>
      </c>
      <c r="F286" s="53">
        <v>41872</v>
      </c>
      <c r="G286" s="54">
        <f t="shared" si="19"/>
        <v>0.5000029853063223</v>
      </c>
      <c r="H286" s="62">
        <v>162524</v>
      </c>
      <c r="I286" s="63">
        <f t="shared" si="20"/>
        <v>58620.45</v>
      </c>
      <c r="J286" s="63">
        <f t="shared" si="21"/>
        <v>130019.20000000001</v>
      </c>
      <c r="K286" s="172">
        <f t="shared" si="22"/>
        <v>58620</v>
      </c>
      <c r="L286" s="156"/>
      <c r="M286" s="173"/>
      <c r="N286" s="173"/>
      <c r="O286" s="190"/>
      <c r="P286" s="13"/>
    </row>
    <row r="287" spans="1:16" ht="15.75">
      <c r="A287">
        <v>282</v>
      </c>
      <c r="B287" s="60">
        <v>580357119</v>
      </c>
      <c r="C287" s="61" t="s">
        <v>738</v>
      </c>
      <c r="D287" s="65" t="s">
        <v>63</v>
      </c>
      <c r="E287" s="53">
        <v>174763</v>
      </c>
      <c r="F287" s="53">
        <v>87382</v>
      </c>
      <c r="G287" s="54">
        <f t="shared" si="19"/>
        <v>0.5000028610174923</v>
      </c>
      <c r="H287" s="62">
        <v>243017</v>
      </c>
      <c r="I287" s="63">
        <f t="shared" si="20"/>
        <v>122334.09999999999</v>
      </c>
      <c r="J287" s="63">
        <f t="shared" si="21"/>
        <v>194413.6</v>
      </c>
      <c r="K287" s="172">
        <f t="shared" si="22"/>
        <v>122334</v>
      </c>
      <c r="L287" s="156"/>
      <c r="M287" s="173"/>
      <c r="N287" s="173"/>
      <c r="O287" s="190"/>
      <c r="P287" s="13"/>
    </row>
    <row r="288" spans="1:16" ht="15.75">
      <c r="A288" s="13">
        <v>283</v>
      </c>
      <c r="B288" s="60">
        <v>580357358</v>
      </c>
      <c r="C288" s="61" t="s">
        <v>362</v>
      </c>
      <c r="D288" s="65" t="s">
        <v>63</v>
      </c>
      <c r="E288" s="53">
        <v>651325.25</v>
      </c>
      <c r="F288" s="53">
        <v>325663</v>
      </c>
      <c r="G288" s="54">
        <f t="shared" si="19"/>
        <v>0.5000005757492129</v>
      </c>
      <c r="H288" s="62">
        <v>567585</v>
      </c>
      <c r="I288" s="63">
        <f t="shared" si="20"/>
        <v>455927.675</v>
      </c>
      <c r="J288" s="63">
        <f t="shared" si="21"/>
        <v>454068</v>
      </c>
      <c r="K288" s="172">
        <f t="shared" si="22"/>
        <v>454068</v>
      </c>
      <c r="L288" s="156"/>
      <c r="M288" s="173"/>
      <c r="N288" s="173"/>
      <c r="O288" s="190"/>
      <c r="P288" s="13"/>
    </row>
    <row r="289" spans="1:16" ht="15">
      <c r="A289">
        <v>284</v>
      </c>
      <c r="B289" s="89">
        <v>580358588</v>
      </c>
      <c r="C289" s="90" t="s">
        <v>363</v>
      </c>
      <c r="D289" s="90" t="s">
        <v>72</v>
      </c>
      <c r="E289" s="53">
        <v>32560</v>
      </c>
      <c r="F289" s="53">
        <v>16280</v>
      </c>
      <c r="G289" s="54">
        <f t="shared" si="19"/>
        <v>0.5</v>
      </c>
      <c r="H289" s="62">
        <v>23042</v>
      </c>
      <c r="I289" s="63">
        <f t="shared" si="20"/>
        <v>22792</v>
      </c>
      <c r="J289" s="63">
        <f t="shared" si="21"/>
        <v>18433.600000000002</v>
      </c>
      <c r="K289" s="172">
        <f t="shared" si="22"/>
        <v>18434</v>
      </c>
      <c r="L289" s="156"/>
      <c r="M289" s="173"/>
      <c r="N289" s="173"/>
      <c r="O289" s="190"/>
      <c r="P289" s="13"/>
    </row>
    <row r="290" spans="1:16" ht="15.75">
      <c r="A290" s="13">
        <v>285</v>
      </c>
      <c r="B290" s="60">
        <v>580359826</v>
      </c>
      <c r="C290" s="61" t="s">
        <v>160</v>
      </c>
      <c r="D290" s="61" t="s">
        <v>60</v>
      </c>
      <c r="E290" s="53">
        <v>49319.25</v>
      </c>
      <c r="F290" s="53">
        <v>24660</v>
      </c>
      <c r="G290" s="54">
        <f t="shared" si="19"/>
        <v>0.5000076035219514</v>
      </c>
      <c r="H290" s="62">
        <v>73171</v>
      </c>
      <c r="I290" s="63">
        <f t="shared" si="20"/>
        <v>34523.475</v>
      </c>
      <c r="J290" s="63">
        <f t="shared" si="21"/>
        <v>58536.8</v>
      </c>
      <c r="K290" s="172">
        <f t="shared" si="22"/>
        <v>34523</v>
      </c>
      <c r="L290" s="156"/>
      <c r="M290" s="173"/>
      <c r="N290" s="173"/>
      <c r="O290" s="190"/>
      <c r="P290" s="13"/>
    </row>
    <row r="291" spans="1:16" ht="15">
      <c r="A291">
        <v>286</v>
      </c>
      <c r="B291" s="92">
        <v>580360360</v>
      </c>
      <c r="C291" s="90" t="s">
        <v>596</v>
      </c>
      <c r="D291" s="90" t="s">
        <v>72</v>
      </c>
      <c r="E291" s="53">
        <v>6625</v>
      </c>
      <c r="F291" s="53">
        <v>2650</v>
      </c>
      <c r="G291" s="54">
        <f t="shared" si="19"/>
        <v>0.4</v>
      </c>
      <c r="H291" s="62">
        <v>6416</v>
      </c>
      <c r="I291" s="63">
        <f t="shared" si="20"/>
        <v>4637.5</v>
      </c>
      <c r="J291" s="63">
        <f t="shared" si="21"/>
        <v>5132.8</v>
      </c>
      <c r="K291" s="172">
        <f t="shared" si="22"/>
        <v>4638</v>
      </c>
      <c r="L291" s="156"/>
      <c r="M291" s="173"/>
      <c r="N291" s="173"/>
      <c r="O291" s="190"/>
      <c r="P291" s="13"/>
    </row>
    <row r="292" spans="1:16" ht="15.75">
      <c r="A292" s="13">
        <v>287</v>
      </c>
      <c r="B292" s="60">
        <v>580360568</v>
      </c>
      <c r="C292" s="61" t="s">
        <v>697</v>
      </c>
      <c r="D292" s="65" t="s">
        <v>63</v>
      </c>
      <c r="E292" s="53">
        <v>158853.75</v>
      </c>
      <c r="F292" s="53">
        <v>79427</v>
      </c>
      <c r="G292" s="54">
        <f t="shared" si="19"/>
        <v>0.5000007868873099</v>
      </c>
      <c r="H292" s="62">
        <v>139399</v>
      </c>
      <c r="I292" s="63">
        <f t="shared" si="20"/>
        <v>111197.625</v>
      </c>
      <c r="J292" s="63">
        <f t="shared" si="21"/>
        <v>111519.20000000001</v>
      </c>
      <c r="K292" s="172">
        <f t="shared" si="22"/>
        <v>111198</v>
      </c>
      <c r="L292" s="156"/>
      <c r="M292" s="173"/>
      <c r="N292" s="173"/>
      <c r="O292" s="190"/>
      <c r="P292" s="13"/>
    </row>
    <row r="293" spans="1:16" ht="15.75">
      <c r="A293">
        <v>288</v>
      </c>
      <c r="B293" s="60">
        <v>580360584</v>
      </c>
      <c r="C293" s="61" t="s">
        <v>364</v>
      </c>
      <c r="D293" s="65" t="s">
        <v>63</v>
      </c>
      <c r="E293" s="53">
        <v>120778</v>
      </c>
      <c r="F293" s="53">
        <v>60389</v>
      </c>
      <c r="G293" s="54">
        <f t="shared" si="19"/>
        <v>0.5</v>
      </c>
      <c r="H293" s="62">
        <v>161737</v>
      </c>
      <c r="I293" s="63">
        <f t="shared" si="20"/>
        <v>84544.59999999999</v>
      </c>
      <c r="J293" s="63">
        <f t="shared" si="21"/>
        <v>129389.6</v>
      </c>
      <c r="K293" s="172">
        <f t="shared" si="22"/>
        <v>84545</v>
      </c>
      <c r="L293" s="156"/>
      <c r="M293" s="173"/>
      <c r="N293" s="173"/>
      <c r="O293" s="190"/>
      <c r="P293" s="13"/>
    </row>
    <row r="294" spans="1:16" ht="15.75">
      <c r="A294" s="13">
        <v>289</v>
      </c>
      <c r="B294" s="85">
        <v>580361178</v>
      </c>
      <c r="C294" s="60" t="s">
        <v>635</v>
      </c>
      <c r="D294" s="61" t="s">
        <v>60</v>
      </c>
      <c r="E294" s="53">
        <v>6220</v>
      </c>
      <c r="F294" s="53">
        <v>3110</v>
      </c>
      <c r="G294" s="54">
        <f t="shared" si="19"/>
        <v>0.5</v>
      </c>
      <c r="H294" s="62">
        <v>4098</v>
      </c>
      <c r="I294" s="63">
        <f t="shared" si="20"/>
        <v>4354</v>
      </c>
      <c r="J294" s="63">
        <f t="shared" si="21"/>
        <v>3278.4</v>
      </c>
      <c r="K294" s="172">
        <f t="shared" si="22"/>
        <v>3278</v>
      </c>
      <c r="L294" s="156"/>
      <c r="M294" s="173"/>
      <c r="N294" s="173"/>
      <c r="O294" s="190"/>
      <c r="P294" s="13"/>
    </row>
    <row r="295" spans="1:16" ht="15.75">
      <c r="A295">
        <v>290</v>
      </c>
      <c r="B295" s="60">
        <v>580361350</v>
      </c>
      <c r="C295" s="60" t="s">
        <v>636</v>
      </c>
      <c r="D295" s="61" t="s">
        <v>94</v>
      </c>
      <c r="E295" s="53">
        <v>111220.5</v>
      </c>
      <c r="F295" s="53">
        <v>44488</v>
      </c>
      <c r="G295" s="54">
        <f t="shared" si="19"/>
        <v>0.3999982017703571</v>
      </c>
      <c r="H295" s="62">
        <v>131625</v>
      </c>
      <c r="I295" s="63">
        <f t="shared" si="20"/>
        <v>77854.34999999999</v>
      </c>
      <c r="J295" s="63">
        <f t="shared" si="21"/>
        <v>105300</v>
      </c>
      <c r="K295" s="172">
        <f t="shared" si="22"/>
        <v>77854</v>
      </c>
      <c r="L295" s="156"/>
      <c r="M295" s="173"/>
      <c r="N295" s="173"/>
      <c r="O295" s="190"/>
      <c r="P295" s="13"/>
    </row>
    <row r="296" spans="1:16" ht="15.75">
      <c r="A296" s="13">
        <v>291</v>
      </c>
      <c r="B296" s="60">
        <v>580361897</v>
      </c>
      <c r="C296" s="61" t="s">
        <v>365</v>
      </c>
      <c r="D296" s="65" t="s">
        <v>63</v>
      </c>
      <c r="E296" s="53">
        <v>16077.75</v>
      </c>
      <c r="F296" s="53">
        <v>8039</v>
      </c>
      <c r="G296" s="54">
        <f t="shared" si="19"/>
        <v>0.5000077747197214</v>
      </c>
      <c r="H296" s="62">
        <v>28927</v>
      </c>
      <c r="I296" s="63">
        <f t="shared" si="20"/>
        <v>11254.425</v>
      </c>
      <c r="J296" s="63">
        <f t="shared" si="21"/>
        <v>23141.600000000002</v>
      </c>
      <c r="K296" s="172">
        <f t="shared" si="22"/>
        <v>11254</v>
      </c>
      <c r="L296" s="156"/>
      <c r="M296" s="173"/>
      <c r="N296" s="173"/>
      <c r="O296" s="190"/>
      <c r="P296" s="13"/>
    </row>
    <row r="297" spans="1:16" ht="15.75">
      <c r="A297">
        <v>292</v>
      </c>
      <c r="B297" s="60">
        <v>580364156</v>
      </c>
      <c r="C297" s="61" t="s">
        <v>276</v>
      </c>
      <c r="D297" s="61" t="s">
        <v>72</v>
      </c>
      <c r="E297" s="53">
        <v>18868.63523576079</v>
      </c>
      <c r="F297" s="53">
        <v>9434</v>
      </c>
      <c r="G297" s="54">
        <f t="shared" si="19"/>
        <v>0.49998316688640027</v>
      </c>
      <c r="H297" s="62">
        <v>6500</v>
      </c>
      <c r="I297" s="63">
        <f t="shared" si="20"/>
        <v>13208.044665032552</v>
      </c>
      <c r="J297" s="63">
        <f t="shared" si="21"/>
        <v>5200</v>
      </c>
      <c r="K297" s="172">
        <f t="shared" si="22"/>
        <v>0</v>
      </c>
      <c r="L297" s="156"/>
      <c r="M297" s="173"/>
      <c r="N297" s="173"/>
      <c r="O297" s="190"/>
      <c r="P297" s="13"/>
    </row>
    <row r="298" spans="1:16" ht="15.75">
      <c r="A298" s="13">
        <v>293</v>
      </c>
      <c r="B298" s="60">
        <v>580364297</v>
      </c>
      <c r="C298" s="153" t="s">
        <v>726</v>
      </c>
      <c r="D298" s="16" t="s">
        <v>74</v>
      </c>
      <c r="E298" s="53">
        <v>16748</v>
      </c>
      <c r="F298" s="53">
        <v>8374</v>
      </c>
      <c r="G298" s="54">
        <f t="shared" si="19"/>
        <v>0.5</v>
      </c>
      <c r="H298" s="62">
        <v>13207</v>
      </c>
      <c r="I298" s="63">
        <f t="shared" si="20"/>
        <v>11723.599999999999</v>
      </c>
      <c r="J298" s="63">
        <f t="shared" si="21"/>
        <v>10565.6</v>
      </c>
      <c r="K298" s="172">
        <f t="shared" si="22"/>
        <v>10566</v>
      </c>
      <c r="L298" s="156"/>
      <c r="M298" s="173"/>
      <c r="N298" s="173"/>
      <c r="O298" s="190"/>
      <c r="P298" s="13"/>
    </row>
    <row r="299" spans="1:16" ht="15.75">
      <c r="A299">
        <v>294</v>
      </c>
      <c r="B299" s="60">
        <v>580364727</v>
      </c>
      <c r="C299" s="61" t="s">
        <v>161</v>
      </c>
      <c r="D299" s="65" t="s">
        <v>63</v>
      </c>
      <c r="E299" s="53">
        <v>513640</v>
      </c>
      <c r="F299" s="53">
        <v>256820</v>
      </c>
      <c r="G299" s="54">
        <f t="shared" si="19"/>
        <v>0.5</v>
      </c>
      <c r="H299" s="62">
        <v>411918</v>
      </c>
      <c r="I299" s="63">
        <f t="shared" si="20"/>
        <v>359548</v>
      </c>
      <c r="J299" s="63">
        <f t="shared" si="21"/>
        <v>329534.4</v>
      </c>
      <c r="K299" s="172">
        <f t="shared" si="22"/>
        <v>329534</v>
      </c>
      <c r="L299" s="156"/>
      <c r="M299" s="173"/>
      <c r="N299" s="173"/>
      <c r="O299" s="190"/>
      <c r="P299" s="13"/>
    </row>
    <row r="300" spans="1:16" ht="15.75">
      <c r="A300" s="13">
        <v>295</v>
      </c>
      <c r="B300" s="60">
        <v>580364875</v>
      </c>
      <c r="C300" s="61" t="s">
        <v>366</v>
      </c>
      <c r="D300" s="65" t="s">
        <v>63</v>
      </c>
      <c r="E300" s="53">
        <v>121415.25</v>
      </c>
      <c r="F300" s="53">
        <v>60708</v>
      </c>
      <c r="G300" s="54">
        <f t="shared" si="19"/>
        <v>0.5000030885741289</v>
      </c>
      <c r="H300" s="62">
        <v>134603</v>
      </c>
      <c r="I300" s="63">
        <f t="shared" si="20"/>
        <v>84990.67499999999</v>
      </c>
      <c r="J300" s="63">
        <f t="shared" si="21"/>
        <v>107682.40000000001</v>
      </c>
      <c r="K300" s="172">
        <f t="shared" si="22"/>
        <v>84991</v>
      </c>
      <c r="L300" s="156"/>
      <c r="M300" s="173"/>
      <c r="N300" s="173"/>
      <c r="O300" s="190"/>
      <c r="P300" s="13"/>
    </row>
    <row r="301" spans="1:16" ht="15.75">
      <c r="A301">
        <v>296</v>
      </c>
      <c r="B301" s="60">
        <v>580364958</v>
      </c>
      <c r="C301" s="61" t="s">
        <v>597</v>
      </c>
      <c r="D301" s="65" t="s">
        <v>63</v>
      </c>
      <c r="E301" s="53">
        <v>117378.5</v>
      </c>
      <c r="F301" s="53">
        <v>58689</v>
      </c>
      <c r="G301" s="54">
        <f t="shared" si="19"/>
        <v>0.49999787013805763</v>
      </c>
      <c r="H301" s="62">
        <v>108463</v>
      </c>
      <c r="I301" s="63">
        <f t="shared" si="20"/>
        <v>82164.95</v>
      </c>
      <c r="J301" s="63">
        <f t="shared" si="21"/>
        <v>86770.40000000001</v>
      </c>
      <c r="K301" s="172">
        <f t="shared" si="22"/>
        <v>82165</v>
      </c>
      <c r="L301" s="156"/>
      <c r="M301" s="173"/>
      <c r="N301" s="173"/>
      <c r="O301" s="190"/>
      <c r="P301" s="13"/>
    </row>
    <row r="302" spans="1:16" ht="15.75">
      <c r="A302" s="13">
        <v>297</v>
      </c>
      <c r="B302" s="60">
        <v>580364966</v>
      </c>
      <c r="C302" s="61" t="s">
        <v>162</v>
      </c>
      <c r="D302" s="65" t="s">
        <v>63</v>
      </c>
      <c r="E302" s="53">
        <v>9278.25</v>
      </c>
      <c r="F302" s="53">
        <v>3711</v>
      </c>
      <c r="G302" s="54">
        <f t="shared" si="19"/>
        <v>0.3999676663163851</v>
      </c>
      <c r="H302" s="62">
        <v>12226</v>
      </c>
      <c r="I302" s="63">
        <f t="shared" si="20"/>
        <v>6494.775</v>
      </c>
      <c r="J302" s="63">
        <f t="shared" si="21"/>
        <v>9780.800000000001</v>
      </c>
      <c r="K302" s="172">
        <f t="shared" si="22"/>
        <v>6495</v>
      </c>
      <c r="L302" s="156"/>
      <c r="M302" s="173"/>
      <c r="N302" s="173"/>
      <c r="O302" s="190"/>
      <c r="P302" s="13"/>
    </row>
    <row r="303" spans="1:16" ht="15">
      <c r="A303">
        <v>298</v>
      </c>
      <c r="B303" s="16">
        <v>580364982</v>
      </c>
      <c r="C303" s="16" t="s">
        <v>698</v>
      </c>
      <c r="D303" s="16" t="s">
        <v>94</v>
      </c>
      <c r="E303" s="53">
        <v>46527</v>
      </c>
      <c r="F303" s="53">
        <v>18611</v>
      </c>
      <c r="G303" s="54">
        <f t="shared" si="19"/>
        <v>0.4000042985793195</v>
      </c>
      <c r="H303" s="62">
        <v>17483</v>
      </c>
      <c r="I303" s="63">
        <f t="shared" si="20"/>
        <v>32568.899999999998</v>
      </c>
      <c r="J303" s="63">
        <f t="shared" si="21"/>
        <v>13986.400000000001</v>
      </c>
      <c r="K303" s="172">
        <f t="shared" si="22"/>
        <v>0</v>
      </c>
      <c r="L303" s="156"/>
      <c r="M303" s="173"/>
      <c r="N303" s="173"/>
      <c r="O303" s="190"/>
      <c r="P303" s="13"/>
    </row>
    <row r="304" spans="1:16" ht="15.75">
      <c r="A304" s="13">
        <v>299</v>
      </c>
      <c r="B304" s="60">
        <v>580366946</v>
      </c>
      <c r="C304" s="61" t="s">
        <v>367</v>
      </c>
      <c r="D304" s="65" t="s">
        <v>63</v>
      </c>
      <c r="E304" s="53">
        <v>112853.25</v>
      </c>
      <c r="F304" s="53">
        <v>56427</v>
      </c>
      <c r="G304" s="54">
        <f t="shared" si="19"/>
        <v>0.5000033228994292</v>
      </c>
      <c r="H304" s="62">
        <v>74665</v>
      </c>
      <c r="I304" s="63">
        <f t="shared" si="20"/>
        <v>78997.275</v>
      </c>
      <c r="J304" s="63">
        <f t="shared" si="21"/>
        <v>59732</v>
      </c>
      <c r="K304" s="172">
        <f t="shared" si="22"/>
        <v>59732</v>
      </c>
      <c r="L304" s="156"/>
      <c r="M304" s="173"/>
      <c r="N304" s="173"/>
      <c r="O304" s="190"/>
      <c r="P304" s="13"/>
    </row>
    <row r="305" spans="1:16" ht="15">
      <c r="A305">
        <v>300</v>
      </c>
      <c r="B305" s="70">
        <v>580367142</v>
      </c>
      <c r="C305" s="91" t="s">
        <v>368</v>
      </c>
      <c r="D305" s="90" t="s">
        <v>72</v>
      </c>
      <c r="E305" s="53">
        <v>12486.5</v>
      </c>
      <c r="F305" s="53">
        <v>4995</v>
      </c>
      <c r="G305" s="54">
        <f aca="true" t="shared" si="23" ref="G305:G368">F305/E305</f>
        <v>0.40003203459736514</v>
      </c>
      <c r="H305" s="62">
        <v>17424</v>
      </c>
      <c r="I305" s="63">
        <f t="shared" si="20"/>
        <v>8740.55</v>
      </c>
      <c r="J305" s="63">
        <f t="shared" si="21"/>
        <v>13939.2</v>
      </c>
      <c r="K305" s="172">
        <f t="shared" si="22"/>
        <v>8741</v>
      </c>
      <c r="L305" s="156"/>
      <c r="M305" s="173"/>
      <c r="N305" s="173"/>
      <c r="O305" s="190"/>
      <c r="P305" s="13"/>
    </row>
    <row r="306" spans="1:16" ht="15">
      <c r="A306" s="13">
        <v>301</v>
      </c>
      <c r="B306" s="79">
        <v>580368009</v>
      </c>
      <c r="C306" s="16" t="s">
        <v>163</v>
      </c>
      <c r="D306" s="16" t="s">
        <v>72</v>
      </c>
      <c r="E306" s="53">
        <v>5446.5</v>
      </c>
      <c r="F306" s="53">
        <v>2723</v>
      </c>
      <c r="G306" s="54">
        <f t="shared" si="23"/>
        <v>0.49995409896263654</v>
      </c>
      <c r="H306" s="62">
        <v>5535</v>
      </c>
      <c r="I306" s="63">
        <f t="shared" si="20"/>
        <v>3812.5499999999997</v>
      </c>
      <c r="J306" s="63">
        <f t="shared" si="21"/>
        <v>4428</v>
      </c>
      <c r="K306" s="172">
        <f t="shared" si="22"/>
        <v>3813</v>
      </c>
      <c r="L306" s="156"/>
      <c r="M306" s="173"/>
      <c r="N306" s="173"/>
      <c r="O306" s="190"/>
      <c r="P306" s="13"/>
    </row>
    <row r="307" spans="1:16" ht="15.75">
      <c r="A307">
        <v>302</v>
      </c>
      <c r="B307" s="60">
        <v>580368504</v>
      </c>
      <c r="C307" s="61" t="s">
        <v>516</v>
      </c>
      <c r="D307" s="65" t="s">
        <v>63</v>
      </c>
      <c r="E307" s="53">
        <v>2891.25</v>
      </c>
      <c r="F307" s="53">
        <v>1157</v>
      </c>
      <c r="G307" s="54">
        <f t="shared" si="23"/>
        <v>0.4001729355814959</v>
      </c>
      <c r="H307" s="62">
        <v>4775</v>
      </c>
      <c r="I307" s="63">
        <f t="shared" si="20"/>
        <v>2023.8749999999998</v>
      </c>
      <c r="J307" s="63">
        <f t="shared" si="21"/>
        <v>3820</v>
      </c>
      <c r="K307" s="172">
        <f t="shared" si="22"/>
        <v>2024</v>
      </c>
      <c r="L307" s="156"/>
      <c r="M307" s="173"/>
      <c r="N307" s="173"/>
      <c r="O307" s="190"/>
      <c r="P307" s="13"/>
    </row>
    <row r="308" spans="1:16" ht="15.75">
      <c r="A308" s="13">
        <v>303</v>
      </c>
      <c r="B308" s="60">
        <v>580368546</v>
      </c>
      <c r="C308" s="60" t="s">
        <v>637</v>
      </c>
      <c r="D308" s="61" t="s">
        <v>63</v>
      </c>
      <c r="E308" s="53">
        <v>154788.5</v>
      </c>
      <c r="F308" s="53">
        <v>77394</v>
      </c>
      <c r="G308" s="54">
        <f t="shared" si="23"/>
        <v>0.4999983848929346</v>
      </c>
      <c r="H308" s="62">
        <v>258477</v>
      </c>
      <c r="I308" s="63">
        <f t="shared" si="20"/>
        <v>108351.95</v>
      </c>
      <c r="J308" s="63">
        <f t="shared" si="21"/>
        <v>206781.6</v>
      </c>
      <c r="K308" s="172">
        <f t="shared" si="22"/>
        <v>108352</v>
      </c>
      <c r="L308" s="156"/>
      <c r="M308" s="173"/>
      <c r="N308" s="173"/>
      <c r="O308" s="190"/>
      <c r="P308" s="13"/>
    </row>
    <row r="309" spans="1:16" ht="15.75">
      <c r="A309">
        <v>304</v>
      </c>
      <c r="B309" s="60">
        <v>580370203</v>
      </c>
      <c r="C309" s="61" t="s">
        <v>369</v>
      </c>
      <c r="D309" s="65" t="s">
        <v>63</v>
      </c>
      <c r="E309" s="53">
        <v>163479.75</v>
      </c>
      <c r="F309" s="53">
        <v>81740</v>
      </c>
      <c r="G309" s="54">
        <f t="shared" si="23"/>
        <v>0.5000007646206946</v>
      </c>
      <c r="H309" s="62">
        <v>199219</v>
      </c>
      <c r="I309" s="63">
        <f t="shared" si="20"/>
        <v>114435.825</v>
      </c>
      <c r="J309" s="63">
        <f t="shared" si="21"/>
        <v>159375.2</v>
      </c>
      <c r="K309" s="172">
        <f t="shared" si="22"/>
        <v>114436</v>
      </c>
      <c r="L309" s="156"/>
      <c r="M309" s="173"/>
      <c r="N309" s="173"/>
      <c r="O309" s="190"/>
      <c r="P309" s="13"/>
    </row>
    <row r="310" spans="1:16" ht="15.75">
      <c r="A310" s="13">
        <v>305</v>
      </c>
      <c r="B310" s="101">
        <v>580370930</v>
      </c>
      <c r="C310" s="103" t="s">
        <v>664</v>
      </c>
      <c r="D310" s="103" t="s">
        <v>60</v>
      </c>
      <c r="E310" s="53">
        <v>138326.75</v>
      </c>
      <c r="F310" s="53">
        <v>69163</v>
      </c>
      <c r="G310" s="54">
        <f t="shared" si="23"/>
        <v>0.49999728902761037</v>
      </c>
      <c r="H310" s="62">
        <v>163921</v>
      </c>
      <c r="I310" s="63">
        <f t="shared" si="20"/>
        <v>96828.72499999999</v>
      </c>
      <c r="J310" s="63">
        <f t="shared" si="21"/>
        <v>131136.80000000002</v>
      </c>
      <c r="K310" s="172">
        <f t="shared" si="22"/>
        <v>96829</v>
      </c>
      <c r="L310" s="156"/>
      <c r="M310" s="173"/>
      <c r="N310" s="173"/>
      <c r="O310" s="190"/>
      <c r="P310" s="13"/>
    </row>
    <row r="311" spans="1:16" ht="15">
      <c r="A311">
        <v>306</v>
      </c>
      <c r="B311" s="80">
        <v>580371250</v>
      </c>
      <c r="C311" s="81" t="s">
        <v>164</v>
      </c>
      <c r="D311" s="16" t="s">
        <v>72</v>
      </c>
      <c r="E311" s="53">
        <v>82692.75</v>
      </c>
      <c r="F311" s="53">
        <v>41346</v>
      </c>
      <c r="G311" s="54">
        <f t="shared" si="23"/>
        <v>0.4999954651405353</v>
      </c>
      <c r="H311" s="62">
        <v>120104</v>
      </c>
      <c r="I311" s="63">
        <f t="shared" si="20"/>
        <v>57884.924999999996</v>
      </c>
      <c r="J311" s="63">
        <f t="shared" si="21"/>
        <v>96083.20000000001</v>
      </c>
      <c r="K311" s="172">
        <f t="shared" si="22"/>
        <v>57885</v>
      </c>
      <c r="L311" s="156"/>
      <c r="M311" s="173"/>
      <c r="N311" s="173"/>
      <c r="O311" s="190"/>
      <c r="P311" s="13"/>
    </row>
    <row r="312" spans="1:16" ht="15">
      <c r="A312" s="13">
        <v>307</v>
      </c>
      <c r="B312" s="66">
        <v>580372035</v>
      </c>
      <c r="C312" s="16" t="s">
        <v>699</v>
      </c>
      <c r="D312" s="16" t="s">
        <v>72</v>
      </c>
      <c r="E312" s="53">
        <v>2396</v>
      </c>
      <c r="F312" s="53">
        <v>958</v>
      </c>
      <c r="G312" s="54">
        <f t="shared" si="23"/>
        <v>0.3998330550918197</v>
      </c>
      <c r="H312" s="62">
        <v>2706</v>
      </c>
      <c r="I312" s="63">
        <f t="shared" si="20"/>
        <v>1677.1999999999998</v>
      </c>
      <c r="J312" s="63">
        <f t="shared" si="21"/>
        <v>2164.8</v>
      </c>
      <c r="K312" s="172">
        <f t="shared" si="22"/>
        <v>1677</v>
      </c>
      <c r="L312" s="156"/>
      <c r="M312" s="173"/>
      <c r="N312" s="173"/>
      <c r="O312" s="190"/>
      <c r="P312" s="13"/>
    </row>
    <row r="313" spans="1:16" ht="15.75">
      <c r="A313">
        <v>308</v>
      </c>
      <c r="B313" s="60">
        <v>580373215</v>
      </c>
      <c r="C313" s="61" t="s">
        <v>739</v>
      </c>
      <c r="D313" s="61" t="s">
        <v>60</v>
      </c>
      <c r="E313" s="53">
        <v>41741</v>
      </c>
      <c r="F313" s="53">
        <v>20871</v>
      </c>
      <c r="G313" s="54">
        <f t="shared" si="23"/>
        <v>0.5000119786301238</v>
      </c>
      <c r="H313" s="62">
        <v>56660</v>
      </c>
      <c r="I313" s="63">
        <f t="shared" si="20"/>
        <v>29218.699999999997</v>
      </c>
      <c r="J313" s="63">
        <f t="shared" si="21"/>
        <v>45328</v>
      </c>
      <c r="K313" s="172">
        <f t="shared" si="22"/>
        <v>29219</v>
      </c>
      <c r="L313" s="156"/>
      <c r="M313" s="173"/>
      <c r="N313" s="173"/>
      <c r="O313" s="190"/>
      <c r="P313" s="13"/>
    </row>
    <row r="314" spans="1:16" ht="15.75">
      <c r="A314" s="13">
        <v>309</v>
      </c>
      <c r="B314" s="60">
        <v>580374445</v>
      </c>
      <c r="C314" s="61" t="s">
        <v>277</v>
      </c>
      <c r="D314" s="61" t="s">
        <v>60</v>
      </c>
      <c r="E314" s="53">
        <v>263971.75</v>
      </c>
      <c r="F314" s="53">
        <v>131986</v>
      </c>
      <c r="G314" s="54">
        <f t="shared" si="23"/>
        <v>0.5000004735355204</v>
      </c>
      <c r="H314" s="62">
        <v>144223</v>
      </c>
      <c r="I314" s="63">
        <f t="shared" si="20"/>
        <v>184780.22499999998</v>
      </c>
      <c r="J314" s="63">
        <f t="shared" si="21"/>
        <v>115378.40000000001</v>
      </c>
      <c r="K314" s="172">
        <f t="shared" si="22"/>
        <v>0</v>
      </c>
      <c r="L314" s="156"/>
      <c r="M314" s="173"/>
      <c r="N314" s="173"/>
      <c r="O314" s="190"/>
      <c r="P314" s="13"/>
    </row>
    <row r="315" spans="1:16" ht="15.75">
      <c r="A315">
        <v>310</v>
      </c>
      <c r="B315" s="82">
        <v>580374452</v>
      </c>
      <c r="C315" s="82" t="s">
        <v>165</v>
      </c>
      <c r="D315" s="68" t="s">
        <v>94</v>
      </c>
      <c r="E315" s="53">
        <v>2916.75</v>
      </c>
      <c r="F315" s="53">
        <v>1458</v>
      </c>
      <c r="G315" s="54">
        <f t="shared" si="23"/>
        <v>0.499871432244793</v>
      </c>
      <c r="H315" s="62">
        <v>4081</v>
      </c>
      <c r="I315" s="63">
        <f t="shared" si="20"/>
        <v>2041.725</v>
      </c>
      <c r="J315" s="63">
        <f t="shared" si="21"/>
        <v>3264.8</v>
      </c>
      <c r="K315" s="172">
        <f t="shared" si="22"/>
        <v>2042</v>
      </c>
      <c r="L315" s="156"/>
      <c r="M315" s="173"/>
      <c r="N315" s="173"/>
      <c r="O315" s="190"/>
      <c r="P315" s="13"/>
    </row>
    <row r="316" spans="1:16" ht="15.75">
      <c r="A316" s="13">
        <v>311</v>
      </c>
      <c r="B316" s="60">
        <v>580375103</v>
      </c>
      <c r="C316" s="61" t="s">
        <v>517</v>
      </c>
      <c r="D316" s="61" t="s">
        <v>60</v>
      </c>
      <c r="E316" s="53">
        <v>15624.75</v>
      </c>
      <c r="F316" s="53">
        <v>7812</v>
      </c>
      <c r="G316" s="54">
        <f t="shared" si="23"/>
        <v>0.49997599961599387</v>
      </c>
      <c r="H316" s="62">
        <v>14439</v>
      </c>
      <c r="I316" s="63">
        <f t="shared" si="20"/>
        <v>10937.324999999999</v>
      </c>
      <c r="J316" s="63">
        <f t="shared" si="21"/>
        <v>11551.2</v>
      </c>
      <c r="K316" s="172">
        <f t="shared" si="22"/>
        <v>10937</v>
      </c>
      <c r="L316" s="156"/>
      <c r="M316" s="173"/>
      <c r="N316" s="173"/>
      <c r="O316" s="190"/>
      <c r="P316" s="13"/>
    </row>
    <row r="317" spans="1:16" ht="15.75">
      <c r="A317">
        <v>312</v>
      </c>
      <c r="B317" s="60">
        <v>580375111</v>
      </c>
      <c r="C317" s="61" t="s">
        <v>568</v>
      </c>
      <c r="D317" s="65" t="s">
        <v>63</v>
      </c>
      <c r="E317" s="53">
        <v>11298</v>
      </c>
      <c r="F317" s="53">
        <v>4519</v>
      </c>
      <c r="G317" s="54">
        <f t="shared" si="23"/>
        <v>0.3999822977518145</v>
      </c>
      <c r="H317" s="62">
        <v>16593</v>
      </c>
      <c r="I317" s="63">
        <f t="shared" si="20"/>
        <v>7908.599999999999</v>
      </c>
      <c r="J317" s="63">
        <f t="shared" si="21"/>
        <v>13274.400000000001</v>
      </c>
      <c r="K317" s="172">
        <f t="shared" si="22"/>
        <v>7909</v>
      </c>
      <c r="L317" s="156"/>
      <c r="M317" s="173"/>
      <c r="N317" s="173"/>
      <c r="O317" s="190"/>
      <c r="P317" s="13"/>
    </row>
    <row r="318" spans="1:16" ht="15.75">
      <c r="A318" s="13">
        <v>313</v>
      </c>
      <c r="B318" s="60">
        <v>580375681</v>
      </c>
      <c r="C318" s="61" t="s">
        <v>370</v>
      </c>
      <c r="D318" s="61" t="s">
        <v>60</v>
      </c>
      <c r="E318" s="53">
        <v>298760</v>
      </c>
      <c r="F318" s="53">
        <v>149380</v>
      </c>
      <c r="G318" s="54">
        <f t="shared" si="23"/>
        <v>0.5</v>
      </c>
      <c r="H318" s="62">
        <v>305860</v>
      </c>
      <c r="I318" s="63">
        <f t="shared" si="20"/>
        <v>209132</v>
      </c>
      <c r="J318" s="63">
        <f t="shared" si="21"/>
        <v>244688</v>
      </c>
      <c r="K318" s="172">
        <f t="shared" si="22"/>
        <v>209132</v>
      </c>
      <c r="L318" s="156"/>
      <c r="M318" s="173"/>
      <c r="N318" s="173"/>
      <c r="O318" s="190"/>
      <c r="P318" s="13"/>
    </row>
    <row r="319" spans="1:16" ht="15.75">
      <c r="A319">
        <v>314</v>
      </c>
      <c r="B319" s="60">
        <v>580376283</v>
      </c>
      <c r="C319" s="61" t="s">
        <v>166</v>
      </c>
      <c r="D319" s="65" t="s">
        <v>63</v>
      </c>
      <c r="E319" s="53">
        <v>47892.75</v>
      </c>
      <c r="F319" s="53">
        <v>23946</v>
      </c>
      <c r="G319" s="54">
        <f t="shared" si="23"/>
        <v>0.4999921700048546</v>
      </c>
      <c r="H319" s="62">
        <v>34879</v>
      </c>
      <c r="I319" s="63">
        <f t="shared" si="20"/>
        <v>33524.924999999996</v>
      </c>
      <c r="J319" s="63">
        <f t="shared" si="21"/>
        <v>27903.2</v>
      </c>
      <c r="K319" s="172">
        <f t="shared" si="22"/>
        <v>27903</v>
      </c>
      <c r="L319" s="156"/>
      <c r="M319" s="173"/>
      <c r="N319" s="173"/>
      <c r="O319" s="190"/>
      <c r="P319" s="13"/>
    </row>
    <row r="320" spans="1:16" ht="15.75">
      <c r="A320" s="13">
        <v>315</v>
      </c>
      <c r="B320" s="60">
        <v>580376911</v>
      </c>
      <c r="C320" s="61" t="s">
        <v>278</v>
      </c>
      <c r="D320" s="61" t="s">
        <v>72</v>
      </c>
      <c r="E320" s="53">
        <v>52650</v>
      </c>
      <c r="F320" s="53">
        <v>18142</v>
      </c>
      <c r="G320" s="54">
        <f t="shared" si="23"/>
        <v>0.3445773979107312</v>
      </c>
      <c r="H320" s="62">
        <v>58042</v>
      </c>
      <c r="I320" s="63">
        <f t="shared" si="20"/>
        <v>36855</v>
      </c>
      <c r="J320" s="63">
        <f t="shared" si="21"/>
        <v>46433.600000000006</v>
      </c>
      <c r="K320" s="172">
        <f t="shared" si="22"/>
        <v>36855</v>
      </c>
      <c r="L320" s="156"/>
      <c r="M320" s="173"/>
      <c r="N320" s="173"/>
      <c r="O320" s="190"/>
      <c r="P320" s="13"/>
    </row>
    <row r="321" spans="1:16" ht="15.75">
      <c r="A321">
        <v>316</v>
      </c>
      <c r="B321" s="60">
        <v>580377059</v>
      </c>
      <c r="C321" s="61" t="s">
        <v>371</v>
      </c>
      <c r="D321" s="65" t="s">
        <v>63</v>
      </c>
      <c r="E321" s="53">
        <f>492645+83514</f>
        <v>576159</v>
      </c>
      <c r="F321" s="53">
        <f>246323+25866</f>
        <v>272189</v>
      </c>
      <c r="G321" s="54">
        <f t="shared" si="23"/>
        <v>0.4724199396347189</v>
      </c>
      <c r="H321" s="62">
        <f>417034+34473</f>
        <v>451507</v>
      </c>
      <c r="I321" s="63">
        <f t="shared" si="20"/>
        <v>403311.3</v>
      </c>
      <c r="J321" s="63">
        <f t="shared" si="21"/>
        <v>361205.60000000003</v>
      </c>
      <c r="K321" s="172">
        <f t="shared" si="22"/>
        <v>361206</v>
      </c>
      <c r="L321" s="156"/>
      <c r="M321" s="173"/>
      <c r="N321" s="173"/>
      <c r="O321" s="190"/>
      <c r="P321" s="13"/>
    </row>
    <row r="322" spans="1:16" ht="15.75">
      <c r="A322" s="13">
        <v>317</v>
      </c>
      <c r="B322" s="60">
        <v>580377794</v>
      </c>
      <c r="C322" s="61" t="s">
        <v>167</v>
      </c>
      <c r="D322" s="61" t="s">
        <v>60</v>
      </c>
      <c r="E322" s="53">
        <v>207882.75</v>
      </c>
      <c r="F322" s="53">
        <v>103941</v>
      </c>
      <c r="G322" s="54">
        <f t="shared" si="23"/>
        <v>0.49999819609852186</v>
      </c>
      <c r="H322" s="62">
        <v>213696</v>
      </c>
      <c r="I322" s="63">
        <f t="shared" si="20"/>
        <v>145517.925</v>
      </c>
      <c r="J322" s="63">
        <f t="shared" si="21"/>
        <v>170956.80000000002</v>
      </c>
      <c r="K322" s="172">
        <f t="shared" si="22"/>
        <v>145518</v>
      </c>
      <c r="L322" s="156"/>
      <c r="M322" s="173"/>
      <c r="N322" s="173"/>
      <c r="O322" s="190"/>
      <c r="P322" s="13"/>
    </row>
    <row r="323" spans="1:16" ht="15.75">
      <c r="A323">
        <v>318</v>
      </c>
      <c r="B323" s="108">
        <v>580378024</v>
      </c>
      <c r="C323" s="61" t="s">
        <v>757</v>
      </c>
      <c r="D323" s="61" t="s">
        <v>72</v>
      </c>
      <c r="E323" s="53">
        <v>23464.75</v>
      </c>
      <c r="F323" s="53">
        <v>11732</v>
      </c>
      <c r="G323" s="54">
        <f t="shared" si="23"/>
        <v>0.49998401858106306</v>
      </c>
      <c r="H323" s="62">
        <v>17588</v>
      </c>
      <c r="I323" s="63">
        <f t="shared" si="20"/>
        <v>16425.325</v>
      </c>
      <c r="J323" s="63">
        <f t="shared" si="21"/>
        <v>14070.400000000001</v>
      </c>
      <c r="K323" s="172">
        <f t="shared" si="22"/>
        <v>14070</v>
      </c>
      <c r="L323" s="156"/>
      <c r="M323" s="173"/>
      <c r="N323" s="173"/>
      <c r="O323" s="190"/>
      <c r="P323" s="13"/>
    </row>
    <row r="324" spans="1:16" ht="15.75">
      <c r="A324" s="13">
        <v>319</v>
      </c>
      <c r="B324" s="61">
        <v>580378610</v>
      </c>
      <c r="C324" s="61" t="s">
        <v>518</v>
      </c>
      <c r="D324" s="61" t="s">
        <v>74</v>
      </c>
      <c r="E324" s="53">
        <v>57361.25</v>
      </c>
      <c r="F324" s="53">
        <v>28681</v>
      </c>
      <c r="G324" s="54">
        <f t="shared" si="23"/>
        <v>0.500006537514437</v>
      </c>
      <c r="H324" s="62">
        <v>100445</v>
      </c>
      <c r="I324" s="63">
        <f t="shared" si="20"/>
        <v>40152.875</v>
      </c>
      <c r="J324" s="63">
        <f t="shared" si="21"/>
        <v>80356</v>
      </c>
      <c r="K324" s="172">
        <f t="shared" si="22"/>
        <v>40153</v>
      </c>
      <c r="L324" s="156"/>
      <c r="M324" s="173"/>
      <c r="N324" s="173"/>
      <c r="O324" s="190"/>
      <c r="P324" s="13"/>
    </row>
    <row r="325" spans="1:16" ht="15.75">
      <c r="A325">
        <v>320</v>
      </c>
      <c r="B325" s="60">
        <v>580379261</v>
      </c>
      <c r="C325" s="61" t="s">
        <v>279</v>
      </c>
      <c r="D325" s="61" t="s">
        <v>60</v>
      </c>
      <c r="E325" s="53">
        <v>33175.25</v>
      </c>
      <c r="F325" s="53">
        <v>16588</v>
      </c>
      <c r="G325" s="54">
        <f t="shared" si="23"/>
        <v>0.5000113036073579</v>
      </c>
      <c r="H325" s="62">
        <v>15527</v>
      </c>
      <c r="I325" s="63">
        <f aca="true" t="shared" si="24" ref="I325:I388">E325*$I$2</f>
        <v>23222.675</v>
      </c>
      <c r="J325" s="63">
        <f aca="true" t="shared" si="25" ref="J325:J388">H325*$J$2</f>
        <v>12421.6</v>
      </c>
      <c r="K325" s="172">
        <f aca="true" t="shared" si="26" ref="K325:K388">ROUND(IF(IF(MIN(I325,J325)&lt;F325,MIN(I325,J325)-F325,MIN(I325,J325))&lt;0,0,IF(MIN(I325,J325)&lt;F325,MIN(I325,J325)-F325,MIN(I325,J325))),0)</f>
        <v>0</v>
      </c>
      <c r="L325" s="156"/>
      <c r="M325" s="173"/>
      <c r="N325" s="173"/>
      <c r="O325" s="190"/>
      <c r="P325" s="13"/>
    </row>
    <row r="326" spans="1:16" ht="15">
      <c r="A326" s="13">
        <v>321</v>
      </c>
      <c r="B326" s="89">
        <v>580379352</v>
      </c>
      <c r="C326" s="90" t="s">
        <v>519</v>
      </c>
      <c r="D326" s="90" t="s">
        <v>72</v>
      </c>
      <c r="E326" s="53">
        <v>5504.75</v>
      </c>
      <c r="F326" s="53">
        <v>2752</v>
      </c>
      <c r="G326" s="54">
        <f t="shared" si="23"/>
        <v>0.49993187701530495</v>
      </c>
      <c r="H326" s="62">
        <v>4347</v>
      </c>
      <c r="I326" s="63">
        <f t="shared" si="24"/>
        <v>3853.325</v>
      </c>
      <c r="J326" s="63">
        <f t="shared" si="25"/>
        <v>3477.6000000000004</v>
      </c>
      <c r="K326" s="172">
        <f t="shared" si="26"/>
        <v>3478</v>
      </c>
      <c r="L326" s="156"/>
      <c r="M326" s="173"/>
      <c r="N326" s="173"/>
      <c r="O326" s="190"/>
      <c r="P326" s="13"/>
    </row>
    <row r="327" spans="1:16" ht="15">
      <c r="A327">
        <v>322</v>
      </c>
      <c r="B327" s="66">
        <v>580380244</v>
      </c>
      <c r="C327" s="16" t="s">
        <v>168</v>
      </c>
      <c r="D327" s="16" t="s">
        <v>72</v>
      </c>
      <c r="E327" s="53">
        <v>75054.5</v>
      </c>
      <c r="F327" s="53">
        <v>37527</v>
      </c>
      <c r="G327" s="54">
        <f t="shared" si="23"/>
        <v>0.49999666908713003</v>
      </c>
      <c r="H327" s="62">
        <v>109929</v>
      </c>
      <c r="I327" s="63">
        <f t="shared" si="24"/>
        <v>52538.149999999994</v>
      </c>
      <c r="J327" s="63">
        <f t="shared" si="25"/>
        <v>87943.20000000001</v>
      </c>
      <c r="K327" s="172">
        <f t="shared" si="26"/>
        <v>52538</v>
      </c>
      <c r="L327" s="156"/>
      <c r="M327" s="173"/>
      <c r="N327" s="173"/>
      <c r="O327" s="190"/>
      <c r="P327" s="13"/>
    </row>
    <row r="328" spans="1:16" ht="15.75">
      <c r="A328" s="13">
        <v>323</v>
      </c>
      <c r="B328" s="61">
        <v>580380780</v>
      </c>
      <c r="C328" s="61" t="s">
        <v>569</v>
      </c>
      <c r="D328" s="61" t="s">
        <v>63</v>
      </c>
      <c r="E328" s="53">
        <v>30245</v>
      </c>
      <c r="F328" s="53">
        <v>15123</v>
      </c>
      <c r="G328" s="54">
        <f t="shared" si="23"/>
        <v>0.5000165316581253</v>
      </c>
      <c r="H328" s="62">
        <v>33090</v>
      </c>
      <c r="I328" s="63">
        <f t="shared" si="24"/>
        <v>21171.5</v>
      </c>
      <c r="J328" s="63">
        <f t="shared" si="25"/>
        <v>26472</v>
      </c>
      <c r="K328" s="172">
        <f t="shared" si="26"/>
        <v>21172</v>
      </c>
      <c r="L328" s="156"/>
      <c r="M328" s="173"/>
      <c r="N328" s="173"/>
      <c r="O328" s="190"/>
      <c r="P328" s="13"/>
    </row>
    <row r="329" spans="1:16" ht="15.75">
      <c r="A329">
        <v>324</v>
      </c>
      <c r="B329" s="60">
        <v>580382307</v>
      </c>
      <c r="C329" s="61" t="s">
        <v>372</v>
      </c>
      <c r="D329" s="61" t="s">
        <v>60</v>
      </c>
      <c r="E329" s="53">
        <v>26556.800000000003</v>
      </c>
      <c r="F329" s="53">
        <v>13278</v>
      </c>
      <c r="G329" s="54">
        <f t="shared" si="23"/>
        <v>0.4999849379443306</v>
      </c>
      <c r="H329" s="62">
        <v>29287</v>
      </c>
      <c r="I329" s="63">
        <f t="shared" si="24"/>
        <v>18589.760000000002</v>
      </c>
      <c r="J329" s="63">
        <f t="shared" si="25"/>
        <v>23429.600000000002</v>
      </c>
      <c r="K329" s="172">
        <f t="shared" si="26"/>
        <v>18590</v>
      </c>
      <c r="L329" s="156"/>
      <c r="M329" s="173"/>
      <c r="N329" s="173"/>
      <c r="O329" s="190"/>
      <c r="P329" s="13"/>
    </row>
    <row r="330" spans="1:16" ht="15">
      <c r="A330" s="13">
        <v>325</v>
      </c>
      <c r="B330" s="89">
        <v>580382315</v>
      </c>
      <c r="C330" s="90" t="s">
        <v>520</v>
      </c>
      <c r="D330" s="90" t="s">
        <v>72</v>
      </c>
      <c r="E330" s="53">
        <v>10791.25</v>
      </c>
      <c r="F330" s="53">
        <v>5396</v>
      </c>
      <c r="G330" s="54">
        <f t="shared" si="23"/>
        <v>0.5000347503764624</v>
      </c>
      <c r="H330" s="62">
        <v>11426</v>
      </c>
      <c r="I330" s="63">
        <f t="shared" si="24"/>
        <v>7553.874999999999</v>
      </c>
      <c r="J330" s="63">
        <f t="shared" si="25"/>
        <v>9140.800000000001</v>
      </c>
      <c r="K330" s="172">
        <f t="shared" si="26"/>
        <v>7554</v>
      </c>
      <c r="L330" s="156"/>
      <c r="M330" s="173"/>
      <c r="N330" s="173"/>
      <c r="O330" s="190"/>
      <c r="P330" s="13"/>
    </row>
    <row r="331" spans="1:16" ht="15">
      <c r="A331">
        <v>326</v>
      </c>
      <c r="B331" s="66">
        <v>580382406</v>
      </c>
      <c r="C331" s="16" t="s">
        <v>740</v>
      </c>
      <c r="D331" s="16" t="s">
        <v>72</v>
      </c>
      <c r="E331" s="53">
        <v>93990.5</v>
      </c>
      <c r="F331" s="53">
        <v>46995</v>
      </c>
      <c r="G331" s="54">
        <f t="shared" si="23"/>
        <v>0.499997340156718</v>
      </c>
      <c r="H331" s="62">
        <v>60167</v>
      </c>
      <c r="I331" s="63">
        <f t="shared" si="24"/>
        <v>65793.34999999999</v>
      </c>
      <c r="J331" s="63">
        <f t="shared" si="25"/>
        <v>48133.600000000006</v>
      </c>
      <c r="K331" s="172">
        <f t="shared" si="26"/>
        <v>48134</v>
      </c>
      <c r="L331" s="156"/>
      <c r="M331" s="173"/>
      <c r="N331" s="173"/>
      <c r="O331" s="190"/>
      <c r="P331" s="13"/>
    </row>
    <row r="332" spans="1:16" ht="15.75">
      <c r="A332" s="13">
        <v>327</v>
      </c>
      <c r="B332" s="100">
        <v>580382463</v>
      </c>
      <c r="C332" s="65" t="s">
        <v>598</v>
      </c>
      <c r="D332" s="61" t="s">
        <v>60</v>
      </c>
      <c r="E332" s="53">
        <v>143924.5</v>
      </c>
      <c r="F332" s="53">
        <v>71962</v>
      </c>
      <c r="G332" s="54">
        <f t="shared" si="23"/>
        <v>0.4999982629781587</v>
      </c>
      <c r="H332" s="62">
        <v>171078</v>
      </c>
      <c r="I332" s="63">
        <f t="shared" si="24"/>
        <v>100747.15</v>
      </c>
      <c r="J332" s="63">
        <f t="shared" si="25"/>
        <v>136862.4</v>
      </c>
      <c r="K332" s="172">
        <f t="shared" si="26"/>
        <v>100747</v>
      </c>
      <c r="L332" s="156"/>
      <c r="M332" s="173"/>
      <c r="N332" s="173"/>
      <c r="O332" s="190"/>
      <c r="P332" s="13"/>
    </row>
    <row r="333" spans="1:16" ht="15.75">
      <c r="A333">
        <v>328</v>
      </c>
      <c r="B333" s="60">
        <v>580384204</v>
      </c>
      <c r="C333" s="61" t="s">
        <v>741</v>
      </c>
      <c r="D333" s="65" t="s">
        <v>63</v>
      </c>
      <c r="E333" s="53">
        <v>53852</v>
      </c>
      <c r="F333" s="53">
        <v>26926</v>
      </c>
      <c r="G333" s="54">
        <f t="shared" si="23"/>
        <v>0.5</v>
      </c>
      <c r="H333" s="62">
        <v>89448</v>
      </c>
      <c r="I333" s="63">
        <f t="shared" si="24"/>
        <v>37696.399999999994</v>
      </c>
      <c r="J333" s="63">
        <f t="shared" si="25"/>
        <v>71558.40000000001</v>
      </c>
      <c r="K333" s="172">
        <f t="shared" si="26"/>
        <v>37696</v>
      </c>
      <c r="L333" s="156"/>
      <c r="M333" s="173"/>
      <c r="N333" s="173"/>
      <c r="O333" s="190"/>
      <c r="P333" s="13"/>
    </row>
    <row r="334" spans="1:16" ht="15">
      <c r="A334" s="13">
        <v>329</v>
      </c>
      <c r="B334" s="66">
        <v>580384816</v>
      </c>
      <c r="C334" s="66" t="s">
        <v>719</v>
      </c>
      <c r="D334" s="16" t="s">
        <v>60</v>
      </c>
      <c r="E334" s="53">
        <v>111218</v>
      </c>
      <c r="F334" s="53">
        <v>55609</v>
      </c>
      <c r="G334" s="54">
        <f t="shared" si="23"/>
        <v>0.5</v>
      </c>
      <c r="H334" s="62">
        <v>80957</v>
      </c>
      <c r="I334" s="63">
        <f t="shared" si="24"/>
        <v>77852.59999999999</v>
      </c>
      <c r="J334" s="63">
        <f t="shared" si="25"/>
        <v>64765.600000000006</v>
      </c>
      <c r="K334" s="172">
        <f t="shared" si="26"/>
        <v>64766</v>
      </c>
      <c r="L334" s="156"/>
      <c r="M334" s="173"/>
      <c r="N334" s="173"/>
      <c r="O334" s="190"/>
      <c r="P334" s="13"/>
    </row>
    <row r="335" spans="1:16" ht="15.75">
      <c r="A335">
        <v>330</v>
      </c>
      <c r="B335" s="60">
        <v>580384881</v>
      </c>
      <c r="C335" s="61" t="s">
        <v>280</v>
      </c>
      <c r="D335" s="65" t="s">
        <v>63</v>
      </c>
      <c r="E335" s="53">
        <v>154678</v>
      </c>
      <c r="F335" s="53">
        <v>77339</v>
      </c>
      <c r="G335" s="54">
        <f t="shared" si="23"/>
        <v>0.5</v>
      </c>
      <c r="H335" s="62">
        <v>154668</v>
      </c>
      <c r="I335" s="63">
        <f t="shared" si="24"/>
        <v>108274.59999999999</v>
      </c>
      <c r="J335" s="63">
        <f t="shared" si="25"/>
        <v>123734.40000000001</v>
      </c>
      <c r="K335" s="172">
        <f t="shared" si="26"/>
        <v>108275</v>
      </c>
      <c r="L335" s="156"/>
      <c r="M335" s="173"/>
      <c r="N335" s="173"/>
      <c r="O335" s="190"/>
      <c r="P335" s="13"/>
    </row>
    <row r="336" spans="1:16" ht="15.75">
      <c r="A336" s="13">
        <v>331</v>
      </c>
      <c r="B336" s="60">
        <v>580386092</v>
      </c>
      <c r="C336" s="61" t="s">
        <v>169</v>
      </c>
      <c r="D336" s="61" t="s">
        <v>60</v>
      </c>
      <c r="E336" s="53">
        <v>152632</v>
      </c>
      <c r="F336" s="53">
        <v>76316</v>
      </c>
      <c r="G336" s="54">
        <f t="shared" si="23"/>
        <v>0.5</v>
      </c>
      <c r="H336" s="62">
        <v>142538</v>
      </c>
      <c r="I336" s="63">
        <f t="shared" si="24"/>
        <v>106842.4</v>
      </c>
      <c r="J336" s="63">
        <f t="shared" si="25"/>
        <v>114030.40000000001</v>
      </c>
      <c r="K336" s="172">
        <f t="shared" si="26"/>
        <v>106842</v>
      </c>
      <c r="L336" s="156"/>
      <c r="M336" s="173"/>
      <c r="N336" s="173"/>
      <c r="O336" s="190"/>
      <c r="P336" s="13"/>
    </row>
    <row r="337" spans="1:16" ht="15.75">
      <c r="A337">
        <v>332</v>
      </c>
      <c r="B337" s="60">
        <v>580386316</v>
      </c>
      <c r="C337" s="61" t="s">
        <v>281</v>
      </c>
      <c r="D337" s="65" t="s">
        <v>68</v>
      </c>
      <c r="E337" s="53">
        <v>6065.5</v>
      </c>
      <c r="F337" s="53">
        <v>3033</v>
      </c>
      <c r="G337" s="54">
        <f t="shared" si="23"/>
        <v>0.5000412167175006</v>
      </c>
      <c r="H337" s="62">
        <v>5553</v>
      </c>
      <c r="I337" s="63">
        <f t="shared" si="24"/>
        <v>4245.849999999999</v>
      </c>
      <c r="J337" s="63">
        <f t="shared" si="25"/>
        <v>4442.400000000001</v>
      </c>
      <c r="K337" s="172">
        <f t="shared" si="26"/>
        <v>4246</v>
      </c>
      <c r="L337" s="156"/>
      <c r="M337" s="173"/>
      <c r="N337" s="173"/>
      <c r="O337" s="190"/>
      <c r="P337" s="13"/>
    </row>
    <row r="338" spans="1:16" ht="15.75">
      <c r="A338" s="13">
        <v>333</v>
      </c>
      <c r="B338" s="60">
        <v>580386456</v>
      </c>
      <c r="C338" s="61" t="s">
        <v>700</v>
      </c>
      <c r="D338" s="61" t="s">
        <v>60</v>
      </c>
      <c r="E338" s="53">
        <v>298656.5</v>
      </c>
      <c r="F338" s="53">
        <v>149328</v>
      </c>
      <c r="G338" s="54">
        <f t="shared" si="23"/>
        <v>0.49999916291793417</v>
      </c>
      <c r="H338" s="62">
        <v>307285</v>
      </c>
      <c r="I338" s="63">
        <f t="shared" si="24"/>
        <v>209059.55</v>
      </c>
      <c r="J338" s="63">
        <f t="shared" si="25"/>
        <v>245828</v>
      </c>
      <c r="K338" s="172">
        <f t="shared" si="26"/>
        <v>209060</v>
      </c>
      <c r="L338" s="156"/>
      <c r="M338" s="173"/>
      <c r="N338" s="173"/>
      <c r="O338" s="190"/>
      <c r="P338" s="13"/>
    </row>
    <row r="339" spans="1:16" ht="15.75">
      <c r="A339">
        <v>334</v>
      </c>
      <c r="B339" s="60">
        <v>580387504</v>
      </c>
      <c r="C339" s="61" t="s">
        <v>282</v>
      </c>
      <c r="D339" s="65" t="s">
        <v>63</v>
      </c>
      <c r="E339" s="53">
        <v>227597.75</v>
      </c>
      <c r="F339" s="53">
        <v>113799</v>
      </c>
      <c r="G339" s="54">
        <f t="shared" si="23"/>
        <v>0.5000005492145683</v>
      </c>
      <c r="H339" s="62">
        <v>269710</v>
      </c>
      <c r="I339" s="63">
        <f t="shared" si="24"/>
        <v>159318.425</v>
      </c>
      <c r="J339" s="63">
        <f t="shared" si="25"/>
        <v>215768</v>
      </c>
      <c r="K339" s="172">
        <f t="shared" si="26"/>
        <v>159318</v>
      </c>
      <c r="L339" s="156"/>
      <c r="M339" s="173"/>
      <c r="N339" s="173"/>
      <c r="O339" s="190"/>
      <c r="P339" s="13"/>
    </row>
    <row r="340" spans="1:16" ht="15.75">
      <c r="A340" s="13">
        <v>335</v>
      </c>
      <c r="B340" s="60">
        <v>580388205</v>
      </c>
      <c r="C340" s="61" t="s">
        <v>446</v>
      </c>
      <c r="D340" s="65" t="s">
        <v>63</v>
      </c>
      <c r="E340" s="53">
        <v>57535</v>
      </c>
      <c r="F340" s="53">
        <v>28768</v>
      </c>
      <c r="G340" s="54">
        <f t="shared" si="23"/>
        <v>0.5000086903623882</v>
      </c>
      <c r="H340" s="62">
        <v>22784</v>
      </c>
      <c r="I340" s="63">
        <f t="shared" si="24"/>
        <v>40274.5</v>
      </c>
      <c r="J340" s="63">
        <f t="shared" si="25"/>
        <v>18227.2</v>
      </c>
      <c r="K340" s="172">
        <f t="shared" si="26"/>
        <v>0</v>
      </c>
      <c r="L340" s="156"/>
      <c r="M340" s="173"/>
      <c r="N340" s="173"/>
      <c r="O340" s="190"/>
      <c r="P340" s="13"/>
    </row>
    <row r="341" spans="1:16" ht="15.75">
      <c r="A341">
        <v>336</v>
      </c>
      <c r="B341" s="61">
        <v>580388536</v>
      </c>
      <c r="C341" s="61" t="s">
        <v>170</v>
      </c>
      <c r="D341" s="61" t="s">
        <v>68</v>
      </c>
      <c r="E341" s="53">
        <v>90052.25</v>
      </c>
      <c r="F341" s="53">
        <v>45026</v>
      </c>
      <c r="G341" s="54">
        <f t="shared" si="23"/>
        <v>0.4999986119169704</v>
      </c>
      <c r="H341" s="62">
        <v>220230</v>
      </c>
      <c r="I341" s="63">
        <f t="shared" si="24"/>
        <v>63036.575</v>
      </c>
      <c r="J341" s="63">
        <f t="shared" si="25"/>
        <v>176184</v>
      </c>
      <c r="K341" s="172">
        <f t="shared" si="26"/>
        <v>63037</v>
      </c>
      <c r="L341" s="156"/>
      <c r="M341" s="173"/>
      <c r="N341" s="173"/>
      <c r="O341" s="190"/>
      <c r="P341" s="13"/>
    </row>
    <row r="342" spans="1:16" ht="15">
      <c r="A342" s="13">
        <v>337</v>
      </c>
      <c r="B342" s="66">
        <v>580391845</v>
      </c>
      <c r="C342" s="16" t="s">
        <v>171</v>
      </c>
      <c r="D342" s="16" t="s">
        <v>72</v>
      </c>
      <c r="E342" s="53">
        <v>51728</v>
      </c>
      <c r="F342" s="53">
        <v>25864</v>
      </c>
      <c r="G342" s="54">
        <f t="shared" si="23"/>
        <v>0.5</v>
      </c>
      <c r="H342" s="62">
        <v>49961</v>
      </c>
      <c r="I342" s="63">
        <f t="shared" si="24"/>
        <v>36209.6</v>
      </c>
      <c r="J342" s="63">
        <f t="shared" si="25"/>
        <v>39968.8</v>
      </c>
      <c r="K342" s="172">
        <f t="shared" si="26"/>
        <v>36210</v>
      </c>
      <c r="L342" s="156"/>
      <c r="M342" s="173"/>
      <c r="N342" s="173"/>
      <c r="O342" s="190"/>
      <c r="P342" s="13"/>
    </row>
    <row r="343" spans="1:16" ht="15.75">
      <c r="A343">
        <v>338</v>
      </c>
      <c r="B343" s="60">
        <v>580393502</v>
      </c>
      <c r="C343" s="61" t="s">
        <v>742</v>
      </c>
      <c r="D343" s="61" t="s">
        <v>60</v>
      </c>
      <c r="E343" s="53">
        <v>81793.5</v>
      </c>
      <c r="F343" s="53">
        <v>40897</v>
      </c>
      <c r="G343" s="54">
        <f t="shared" si="23"/>
        <v>0.5000030564775929</v>
      </c>
      <c r="H343" s="62">
        <v>64142</v>
      </c>
      <c r="I343" s="63">
        <f t="shared" si="24"/>
        <v>57255.45</v>
      </c>
      <c r="J343" s="63">
        <f t="shared" si="25"/>
        <v>51313.600000000006</v>
      </c>
      <c r="K343" s="172">
        <f t="shared" si="26"/>
        <v>51314</v>
      </c>
      <c r="L343" s="156"/>
      <c r="M343" s="173"/>
      <c r="N343" s="173"/>
      <c r="O343" s="190"/>
      <c r="P343" s="13"/>
    </row>
    <row r="344" spans="1:16" ht="15.75">
      <c r="A344" s="13">
        <v>339</v>
      </c>
      <c r="B344" s="60">
        <v>580394278</v>
      </c>
      <c r="C344" s="61" t="s">
        <v>283</v>
      </c>
      <c r="D344" s="65" t="s">
        <v>63</v>
      </c>
      <c r="E344" s="53">
        <v>993311.25</v>
      </c>
      <c r="F344" s="53">
        <v>496656</v>
      </c>
      <c r="G344" s="54">
        <f t="shared" si="23"/>
        <v>0.5000003775251715</v>
      </c>
      <c r="H344" s="62">
        <v>803447</v>
      </c>
      <c r="I344" s="63">
        <f t="shared" si="24"/>
        <v>695317.875</v>
      </c>
      <c r="J344" s="63">
        <f t="shared" si="25"/>
        <v>642757.6000000001</v>
      </c>
      <c r="K344" s="172">
        <f t="shared" si="26"/>
        <v>642758</v>
      </c>
      <c r="L344" s="156"/>
      <c r="M344" s="173"/>
      <c r="N344" s="173"/>
      <c r="O344" s="190"/>
      <c r="P344" s="13"/>
    </row>
    <row r="345" spans="1:16" ht="15">
      <c r="A345">
        <v>340</v>
      </c>
      <c r="B345" s="92">
        <v>580395044</v>
      </c>
      <c r="C345" s="90" t="s">
        <v>373</v>
      </c>
      <c r="D345" s="90" t="s">
        <v>72</v>
      </c>
      <c r="E345" s="53">
        <v>16289.5</v>
      </c>
      <c r="F345" s="53">
        <v>8145</v>
      </c>
      <c r="G345" s="54">
        <f t="shared" si="23"/>
        <v>0.5000153473096166</v>
      </c>
      <c r="H345" s="62">
        <v>5084</v>
      </c>
      <c r="I345" s="63">
        <f t="shared" si="24"/>
        <v>11402.65</v>
      </c>
      <c r="J345" s="63">
        <f t="shared" si="25"/>
        <v>4067.2000000000003</v>
      </c>
      <c r="K345" s="172">
        <f t="shared" si="26"/>
        <v>0</v>
      </c>
      <c r="L345" s="156"/>
      <c r="M345" s="173"/>
      <c r="N345" s="173"/>
      <c r="O345" s="190"/>
      <c r="P345" s="13"/>
    </row>
    <row r="346" spans="1:16" ht="15.75">
      <c r="A346" s="13">
        <v>341</v>
      </c>
      <c r="B346" s="60">
        <v>580395465</v>
      </c>
      <c r="C346" s="61" t="s">
        <v>521</v>
      </c>
      <c r="D346" s="61" t="s">
        <v>60</v>
      </c>
      <c r="E346" s="53">
        <v>188337.25</v>
      </c>
      <c r="F346" s="53">
        <v>94169</v>
      </c>
      <c r="G346" s="54">
        <f t="shared" si="23"/>
        <v>0.5000019911090344</v>
      </c>
      <c r="H346" s="62">
        <v>234408</v>
      </c>
      <c r="I346" s="63">
        <f t="shared" si="24"/>
        <v>131836.07499999998</v>
      </c>
      <c r="J346" s="63">
        <f t="shared" si="25"/>
        <v>187526.40000000002</v>
      </c>
      <c r="K346" s="172">
        <f t="shared" si="26"/>
        <v>131836</v>
      </c>
      <c r="L346" s="156"/>
      <c r="M346" s="173"/>
      <c r="N346" s="173"/>
      <c r="O346" s="190"/>
      <c r="P346" s="13"/>
    </row>
    <row r="347" spans="1:16" ht="30">
      <c r="A347">
        <v>342</v>
      </c>
      <c r="B347" s="61">
        <v>580395523</v>
      </c>
      <c r="C347" s="78" t="s">
        <v>172</v>
      </c>
      <c r="D347" s="61" t="s">
        <v>74</v>
      </c>
      <c r="E347" s="53">
        <v>73240.25</v>
      </c>
      <c r="F347" s="53">
        <v>36620</v>
      </c>
      <c r="G347" s="54">
        <f t="shared" si="23"/>
        <v>0.4999982932881851</v>
      </c>
      <c r="H347" s="62">
        <v>115065</v>
      </c>
      <c r="I347" s="63">
        <f t="shared" si="24"/>
        <v>51268.174999999996</v>
      </c>
      <c r="J347" s="63">
        <f t="shared" si="25"/>
        <v>92052</v>
      </c>
      <c r="K347" s="172">
        <f t="shared" si="26"/>
        <v>51268</v>
      </c>
      <c r="L347" s="156"/>
      <c r="M347" s="173"/>
      <c r="N347" s="173"/>
      <c r="O347" s="190"/>
      <c r="P347" s="13"/>
    </row>
    <row r="348" spans="1:16" ht="15.75">
      <c r="A348" s="13">
        <v>343</v>
      </c>
      <c r="B348" s="61">
        <v>580395853</v>
      </c>
      <c r="C348" s="61" t="s">
        <v>522</v>
      </c>
      <c r="D348" s="61" t="s">
        <v>68</v>
      </c>
      <c r="E348" s="53">
        <v>4132.75</v>
      </c>
      <c r="F348" s="53">
        <v>1653</v>
      </c>
      <c r="G348" s="54">
        <f t="shared" si="23"/>
        <v>0.39997580303671887</v>
      </c>
      <c r="H348" s="62">
        <v>4012</v>
      </c>
      <c r="I348" s="63">
        <f t="shared" si="24"/>
        <v>2892.9249999999997</v>
      </c>
      <c r="J348" s="63">
        <f t="shared" si="25"/>
        <v>3209.6000000000004</v>
      </c>
      <c r="K348" s="172">
        <f t="shared" si="26"/>
        <v>2893</v>
      </c>
      <c r="L348" s="156"/>
      <c r="M348" s="173"/>
      <c r="N348" s="173"/>
      <c r="O348" s="190"/>
      <c r="P348" s="13"/>
    </row>
    <row r="349" spans="1:16" ht="15.75">
      <c r="A349">
        <v>344</v>
      </c>
      <c r="B349" s="85">
        <v>580396059</v>
      </c>
      <c r="C349" s="61" t="s">
        <v>374</v>
      </c>
      <c r="D349" s="65" t="s">
        <v>63</v>
      </c>
      <c r="E349" s="53">
        <v>87651.25</v>
      </c>
      <c r="F349" s="53">
        <v>43826</v>
      </c>
      <c r="G349" s="54">
        <f t="shared" si="23"/>
        <v>0.5000042783189059</v>
      </c>
      <c r="H349" s="62">
        <v>87459</v>
      </c>
      <c r="I349" s="63">
        <f t="shared" si="24"/>
        <v>61355.87499999999</v>
      </c>
      <c r="J349" s="63">
        <f t="shared" si="25"/>
        <v>69967.2</v>
      </c>
      <c r="K349" s="172">
        <f t="shared" si="26"/>
        <v>61356</v>
      </c>
      <c r="L349" s="156"/>
      <c r="M349" s="173"/>
      <c r="N349" s="173"/>
      <c r="O349" s="190"/>
      <c r="P349" s="13"/>
    </row>
    <row r="350" spans="1:16" ht="15.75">
      <c r="A350" s="13">
        <v>345</v>
      </c>
      <c r="B350" s="60">
        <v>580397107</v>
      </c>
      <c r="C350" s="61" t="s">
        <v>599</v>
      </c>
      <c r="D350" s="61" t="s">
        <v>60</v>
      </c>
      <c r="E350" s="53">
        <v>46845</v>
      </c>
      <c r="F350" s="53">
        <v>23423</v>
      </c>
      <c r="G350" s="54">
        <f t="shared" si="23"/>
        <v>0.5000106734977052</v>
      </c>
      <c r="H350" s="62">
        <v>79254</v>
      </c>
      <c r="I350" s="63">
        <f t="shared" si="24"/>
        <v>32791.5</v>
      </c>
      <c r="J350" s="63">
        <f t="shared" si="25"/>
        <v>63403.200000000004</v>
      </c>
      <c r="K350" s="172">
        <f t="shared" si="26"/>
        <v>32792</v>
      </c>
      <c r="L350" s="156"/>
      <c r="M350" s="173"/>
      <c r="N350" s="173"/>
      <c r="O350" s="190"/>
      <c r="P350" s="13"/>
    </row>
    <row r="351" spans="1:16" ht="15.75">
      <c r="A351">
        <v>346</v>
      </c>
      <c r="B351" s="61">
        <v>580399111</v>
      </c>
      <c r="C351" s="61" t="s">
        <v>523</v>
      </c>
      <c r="D351" s="61" t="s">
        <v>68</v>
      </c>
      <c r="E351" s="53">
        <v>27695</v>
      </c>
      <c r="F351" s="53">
        <v>13848</v>
      </c>
      <c r="G351" s="54">
        <f t="shared" si="23"/>
        <v>0.5000180538003249</v>
      </c>
      <c r="H351" s="62">
        <v>32819</v>
      </c>
      <c r="I351" s="63">
        <f t="shared" si="24"/>
        <v>19386.5</v>
      </c>
      <c r="J351" s="63">
        <f t="shared" si="25"/>
        <v>26255.2</v>
      </c>
      <c r="K351" s="172">
        <f t="shared" si="26"/>
        <v>19387</v>
      </c>
      <c r="L351" s="156"/>
      <c r="M351" s="173"/>
      <c r="N351" s="173"/>
      <c r="O351" s="190"/>
      <c r="P351" s="13"/>
    </row>
    <row r="352" spans="1:16" ht="15.75">
      <c r="A352" s="13">
        <v>347</v>
      </c>
      <c r="B352" s="108">
        <v>580399285</v>
      </c>
      <c r="C352" s="61" t="s">
        <v>758</v>
      </c>
      <c r="D352" s="61" t="s">
        <v>60</v>
      </c>
      <c r="E352" s="53">
        <v>3908</v>
      </c>
      <c r="F352" s="53">
        <v>1954</v>
      </c>
      <c r="G352" s="54">
        <f t="shared" si="23"/>
        <v>0.5</v>
      </c>
      <c r="H352" s="62">
        <v>3650</v>
      </c>
      <c r="I352" s="63">
        <f t="shared" si="24"/>
        <v>2735.6</v>
      </c>
      <c r="J352" s="63">
        <f t="shared" si="25"/>
        <v>2920</v>
      </c>
      <c r="K352" s="172">
        <f t="shared" si="26"/>
        <v>2736</v>
      </c>
      <c r="L352" s="156"/>
      <c r="M352" s="173"/>
      <c r="N352" s="173"/>
      <c r="O352" s="190"/>
      <c r="P352" s="13"/>
    </row>
    <row r="353" spans="1:16" ht="15.75">
      <c r="A353">
        <v>348</v>
      </c>
      <c r="B353" s="101">
        <v>580399731</v>
      </c>
      <c r="C353" s="102" t="s">
        <v>665</v>
      </c>
      <c r="D353" s="102" t="s">
        <v>72</v>
      </c>
      <c r="E353" s="53">
        <v>3082.25</v>
      </c>
      <c r="F353" s="53">
        <v>1541</v>
      </c>
      <c r="G353" s="54">
        <f t="shared" si="23"/>
        <v>0.49995944521047936</v>
      </c>
      <c r="H353" s="62">
        <v>2210</v>
      </c>
      <c r="I353" s="63">
        <f t="shared" si="24"/>
        <v>2157.575</v>
      </c>
      <c r="J353" s="63">
        <f t="shared" si="25"/>
        <v>1768</v>
      </c>
      <c r="K353" s="172">
        <f t="shared" si="26"/>
        <v>1768</v>
      </c>
      <c r="L353" s="156"/>
      <c r="M353" s="173"/>
      <c r="N353" s="173"/>
      <c r="O353" s="190"/>
      <c r="P353" s="13"/>
    </row>
    <row r="354" spans="1:16" ht="15.75">
      <c r="A354" s="13">
        <v>349</v>
      </c>
      <c r="B354" s="101">
        <v>580401339</v>
      </c>
      <c r="C354" s="103" t="s">
        <v>666</v>
      </c>
      <c r="D354" s="104" t="s">
        <v>63</v>
      </c>
      <c r="E354" s="53">
        <v>160424</v>
      </c>
      <c r="F354" s="53">
        <v>80212</v>
      </c>
      <c r="G354" s="54">
        <f t="shared" si="23"/>
        <v>0.5</v>
      </c>
      <c r="H354" s="62">
        <v>190106</v>
      </c>
      <c r="I354" s="63">
        <f t="shared" si="24"/>
        <v>112296.79999999999</v>
      </c>
      <c r="J354" s="63">
        <f t="shared" si="25"/>
        <v>152084.80000000002</v>
      </c>
      <c r="K354" s="172">
        <f t="shared" si="26"/>
        <v>112297</v>
      </c>
      <c r="L354" s="156"/>
      <c r="M354" s="173"/>
      <c r="N354" s="173"/>
      <c r="O354" s="190"/>
      <c r="P354" s="13"/>
    </row>
    <row r="355" spans="1:16" ht="15.75">
      <c r="A355">
        <v>350</v>
      </c>
      <c r="B355" s="60">
        <v>580401818</v>
      </c>
      <c r="C355" s="61" t="s">
        <v>173</v>
      </c>
      <c r="D355" s="61" t="s">
        <v>60</v>
      </c>
      <c r="E355" s="53">
        <v>470790</v>
      </c>
      <c r="F355" s="53">
        <v>235395</v>
      </c>
      <c r="G355" s="54">
        <f t="shared" si="23"/>
        <v>0.5</v>
      </c>
      <c r="H355" s="62">
        <v>457228</v>
      </c>
      <c r="I355" s="63">
        <f t="shared" si="24"/>
        <v>329553</v>
      </c>
      <c r="J355" s="63">
        <f t="shared" si="25"/>
        <v>365782.4</v>
      </c>
      <c r="K355" s="172">
        <f t="shared" si="26"/>
        <v>329553</v>
      </c>
      <c r="L355" s="156"/>
      <c r="M355" s="173"/>
      <c r="N355" s="173"/>
      <c r="O355" s="190"/>
      <c r="P355" s="13"/>
    </row>
    <row r="356" spans="1:16" ht="15.75">
      <c r="A356" s="13">
        <v>351</v>
      </c>
      <c r="B356" s="60">
        <v>580402048</v>
      </c>
      <c r="C356" s="61" t="s">
        <v>375</v>
      </c>
      <c r="D356" s="61" t="s">
        <v>60</v>
      </c>
      <c r="E356" s="53">
        <v>225278</v>
      </c>
      <c r="F356" s="53">
        <v>106586</v>
      </c>
      <c r="G356" s="54">
        <f t="shared" si="23"/>
        <v>0.4731309759497155</v>
      </c>
      <c r="H356" s="62">
        <v>263497</v>
      </c>
      <c r="I356" s="63">
        <f t="shared" si="24"/>
        <v>157694.59999999998</v>
      </c>
      <c r="J356" s="63">
        <f t="shared" si="25"/>
        <v>210797.6</v>
      </c>
      <c r="K356" s="172">
        <f t="shared" si="26"/>
        <v>157695</v>
      </c>
      <c r="L356" s="156"/>
      <c r="M356" s="173"/>
      <c r="N356" s="173"/>
      <c r="O356" s="190"/>
      <c r="P356" s="13"/>
    </row>
    <row r="357" spans="1:16" ht="15.75">
      <c r="A357">
        <v>352</v>
      </c>
      <c r="B357" s="60">
        <v>580402808</v>
      </c>
      <c r="C357" s="78" t="s">
        <v>376</v>
      </c>
      <c r="D357" s="65" t="s">
        <v>63</v>
      </c>
      <c r="E357" s="53">
        <v>87529.5</v>
      </c>
      <c r="F357" s="53">
        <v>43765</v>
      </c>
      <c r="G357" s="54">
        <f t="shared" si="23"/>
        <v>0.5000028561799165</v>
      </c>
      <c r="H357" s="62">
        <v>114699</v>
      </c>
      <c r="I357" s="63">
        <f t="shared" si="24"/>
        <v>61270.649999999994</v>
      </c>
      <c r="J357" s="63">
        <f t="shared" si="25"/>
        <v>91759.20000000001</v>
      </c>
      <c r="K357" s="172">
        <f t="shared" si="26"/>
        <v>61271</v>
      </c>
      <c r="L357" s="156"/>
      <c r="M357" s="173"/>
      <c r="N357" s="173"/>
      <c r="O357" s="190"/>
      <c r="P357" s="13"/>
    </row>
    <row r="358" spans="1:16" ht="15.75">
      <c r="A358" s="13">
        <v>353</v>
      </c>
      <c r="B358" s="60">
        <v>580403178</v>
      </c>
      <c r="C358" s="61" t="s">
        <v>284</v>
      </c>
      <c r="D358" s="65" t="s">
        <v>63</v>
      </c>
      <c r="E358" s="53">
        <v>54210.5</v>
      </c>
      <c r="F358" s="53">
        <v>27105</v>
      </c>
      <c r="G358" s="54">
        <f t="shared" si="23"/>
        <v>0.4999953883472759</v>
      </c>
      <c r="H358" s="62">
        <v>16968</v>
      </c>
      <c r="I358" s="63">
        <f t="shared" si="24"/>
        <v>37947.35</v>
      </c>
      <c r="J358" s="63">
        <f t="shared" si="25"/>
        <v>13574.400000000001</v>
      </c>
      <c r="K358" s="172">
        <f t="shared" si="26"/>
        <v>0</v>
      </c>
      <c r="L358" s="156"/>
      <c r="M358" s="173"/>
      <c r="N358" s="173"/>
      <c r="O358" s="190"/>
      <c r="P358" s="13"/>
    </row>
    <row r="359" spans="1:16" ht="15.75">
      <c r="A359">
        <v>354</v>
      </c>
      <c r="B359" s="61">
        <v>580403491</v>
      </c>
      <c r="C359" s="61" t="s">
        <v>285</v>
      </c>
      <c r="D359" s="61" t="s">
        <v>68</v>
      </c>
      <c r="E359" s="53">
        <v>3994.5</v>
      </c>
      <c r="F359" s="53">
        <v>1997</v>
      </c>
      <c r="G359" s="54">
        <f t="shared" si="23"/>
        <v>0.49993741394417324</v>
      </c>
      <c r="H359" s="62">
        <v>4706</v>
      </c>
      <c r="I359" s="63">
        <f t="shared" si="24"/>
        <v>2796.1499999999996</v>
      </c>
      <c r="J359" s="63">
        <f t="shared" si="25"/>
        <v>3764.8</v>
      </c>
      <c r="K359" s="172">
        <f t="shared" si="26"/>
        <v>2796</v>
      </c>
      <c r="L359" s="156"/>
      <c r="M359" s="173"/>
      <c r="N359" s="173"/>
      <c r="O359" s="190"/>
      <c r="P359" s="13"/>
    </row>
    <row r="360" spans="1:16" ht="15">
      <c r="A360" s="13">
        <v>355</v>
      </c>
      <c r="B360" s="66">
        <v>580403590</v>
      </c>
      <c r="C360" s="16" t="s">
        <v>174</v>
      </c>
      <c r="D360" s="16" t="s">
        <v>72</v>
      </c>
      <c r="E360" s="53">
        <v>293607</v>
      </c>
      <c r="F360" s="53">
        <v>146804</v>
      </c>
      <c r="G360" s="54">
        <f t="shared" si="23"/>
        <v>0.5000017029566733</v>
      </c>
      <c r="H360" s="62">
        <v>329508</v>
      </c>
      <c r="I360" s="63">
        <f t="shared" si="24"/>
        <v>205524.9</v>
      </c>
      <c r="J360" s="63">
        <f t="shared" si="25"/>
        <v>263606.4</v>
      </c>
      <c r="K360" s="172">
        <f t="shared" si="26"/>
        <v>205525</v>
      </c>
      <c r="L360" s="156"/>
      <c r="M360" s="173"/>
      <c r="N360" s="173"/>
      <c r="O360" s="190"/>
      <c r="P360" s="13"/>
    </row>
    <row r="361" spans="1:16" ht="15.75">
      <c r="A361">
        <v>356</v>
      </c>
      <c r="B361" s="71">
        <v>580404069</v>
      </c>
      <c r="C361" s="73" t="s">
        <v>123</v>
      </c>
      <c r="D361" s="73" t="s">
        <v>60</v>
      </c>
      <c r="E361" s="53">
        <f>247930.25+91295</f>
        <v>339225.25</v>
      </c>
      <c r="F361" s="53">
        <f>110089+45647</f>
        <v>155736</v>
      </c>
      <c r="G361" s="54">
        <f t="shared" si="23"/>
        <v>0.4590931836589405</v>
      </c>
      <c r="H361" s="62">
        <f>189274+67291</f>
        <v>256565</v>
      </c>
      <c r="I361" s="63">
        <f t="shared" si="24"/>
        <v>237457.675</v>
      </c>
      <c r="J361" s="63">
        <f t="shared" si="25"/>
        <v>205252</v>
      </c>
      <c r="K361" s="172">
        <f t="shared" si="26"/>
        <v>205252</v>
      </c>
      <c r="L361" s="156"/>
      <c r="M361" s="173"/>
      <c r="N361" s="173"/>
      <c r="O361" s="190"/>
      <c r="P361" s="13"/>
    </row>
    <row r="362" spans="1:16" ht="15.75">
      <c r="A362" s="13">
        <v>357</v>
      </c>
      <c r="B362" s="85">
        <v>580404598</v>
      </c>
      <c r="C362" s="61" t="s">
        <v>524</v>
      </c>
      <c r="D362" s="65" t="s">
        <v>63</v>
      </c>
      <c r="E362" s="53">
        <v>49639.25</v>
      </c>
      <c r="F362" s="53">
        <v>19856</v>
      </c>
      <c r="G362" s="54">
        <f t="shared" si="23"/>
        <v>0.40000604360460723</v>
      </c>
      <c r="H362" s="62">
        <v>34342</v>
      </c>
      <c r="I362" s="63">
        <f t="shared" si="24"/>
        <v>34747.475</v>
      </c>
      <c r="J362" s="63">
        <f t="shared" si="25"/>
        <v>27473.600000000002</v>
      </c>
      <c r="K362" s="172">
        <f t="shared" si="26"/>
        <v>27474</v>
      </c>
      <c r="L362" s="156"/>
      <c r="M362" s="173"/>
      <c r="N362" s="173"/>
      <c r="O362" s="190"/>
      <c r="P362" s="13"/>
    </row>
    <row r="363" spans="1:16" ht="15.75">
      <c r="A363">
        <v>358</v>
      </c>
      <c r="B363" s="60">
        <v>580404796</v>
      </c>
      <c r="C363" s="61" t="s">
        <v>525</v>
      </c>
      <c r="D363" s="65" t="s">
        <v>63</v>
      </c>
      <c r="E363" s="53">
        <v>98365.25</v>
      </c>
      <c r="F363" s="53">
        <v>49183</v>
      </c>
      <c r="G363" s="54">
        <f t="shared" si="23"/>
        <v>0.5000038123219328</v>
      </c>
      <c r="H363" s="62">
        <v>55122</v>
      </c>
      <c r="I363" s="63">
        <f t="shared" si="24"/>
        <v>68855.67499999999</v>
      </c>
      <c r="J363" s="63">
        <f t="shared" si="25"/>
        <v>44097.600000000006</v>
      </c>
      <c r="K363" s="172">
        <f t="shared" si="26"/>
        <v>0</v>
      </c>
      <c r="L363" s="156"/>
      <c r="M363" s="173"/>
      <c r="N363" s="173"/>
      <c r="O363" s="190"/>
      <c r="P363" s="13"/>
    </row>
    <row r="364" spans="1:16" ht="15">
      <c r="A364" s="13">
        <v>359</v>
      </c>
      <c r="B364" s="66">
        <v>580405074</v>
      </c>
      <c r="C364" s="16" t="s">
        <v>701</v>
      </c>
      <c r="D364" s="16" t="s">
        <v>72</v>
      </c>
      <c r="E364" s="53">
        <v>6421.5</v>
      </c>
      <c r="F364" s="53">
        <v>2569</v>
      </c>
      <c r="G364" s="54">
        <f t="shared" si="23"/>
        <v>0.4000622907420385</v>
      </c>
      <c r="H364" s="62">
        <v>4862</v>
      </c>
      <c r="I364" s="63">
        <f t="shared" si="24"/>
        <v>4495.049999999999</v>
      </c>
      <c r="J364" s="63">
        <f t="shared" si="25"/>
        <v>3889.6000000000004</v>
      </c>
      <c r="K364" s="172">
        <f t="shared" si="26"/>
        <v>3890</v>
      </c>
      <c r="L364" s="156"/>
      <c r="M364" s="173"/>
      <c r="N364" s="173"/>
      <c r="O364" s="190"/>
      <c r="P364" s="13"/>
    </row>
    <row r="365" spans="1:16" ht="15.75">
      <c r="A365">
        <v>360</v>
      </c>
      <c r="B365" s="60">
        <v>580406437</v>
      </c>
      <c r="C365" s="61" t="s">
        <v>286</v>
      </c>
      <c r="D365" s="65" t="s">
        <v>63</v>
      </c>
      <c r="E365" s="53">
        <v>161454.5</v>
      </c>
      <c r="F365" s="53">
        <v>80727</v>
      </c>
      <c r="G365" s="54">
        <f t="shared" si="23"/>
        <v>0.49999845157614065</v>
      </c>
      <c r="H365" s="62">
        <v>174918</v>
      </c>
      <c r="I365" s="63">
        <f t="shared" si="24"/>
        <v>113018.15</v>
      </c>
      <c r="J365" s="63">
        <f t="shared" si="25"/>
        <v>139934.4</v>
      </c>
      <c r="K365" s="172">
        <f t="shared" si="26"/>
        <v>113018</v>
      </c>
      <c r="L365" s="156"/>
      <c r="M365" s="173"/>
      <c r="N365" s="173"/>
      <c r="O365" s="190"/>
      <c r="P365" s="13"/>
    </row>
    <row r="366" spans="1:16" ht="15.75">
      <c r="A366" s="13">
        <v>361</v>
      </c>
      <c r="B366" s="60">
        <v>580406817</v>
      </c>
      <c r="C366" s="61" t="s">
        <v>175</v>
      </c>
      <c r="D366" s="65" t="s">
        <v>63</v>
      </c>
      <c r="E366" s="53">
        <v>86785.5</v>
      </c>
      <c r="F366" s="53">
        <v>43393</v>
      </c>
      <c r="G366" s="54">
        <f t="shared" si="23"/>
        <v>0.500002880665549</v>
      </c>
      <c r="H366" s="62">
        <v>110133</v>
      </c>
      <c r="I366" s="63">
        <f t="shared" si="24"/>
        <v>60749.85</v>
      </c>
      <c r="J366" s="63">
        <f t="shared" si="25"/>
        <v>88106.40000000001</v>
      </c>
      <c r="K366" s="172">
        <f t="shared" si="26"/>
        <v>60750</v>
      </c>
      <c r="L366" s="156"/>
      <c r="M366" s="173"/>
      <c r="N366" s="173"/>
      <c r="O366" s="190"/>
      <c r="P366" s="13"/>
    </row>
    <row r="367" spans="1:16" ht="15.75">
      <c r="A367">
        <v>362</v>
      </c>
      <c r="B367" s="60">
        <v>580407054</v>
      </c>
      <c r="C367" s="61" t="s">
        <v>447</v>
      </c>
      <c r="D367" s="61" t="s">
        <v>60</v>
      </c>
      <c r="E367" s="53">
        <v>20612.75</v>
      </c>
      <c r="F367" s="53">
        <v>10306</v>
      </c>
      <c r="G367" s="54">
        <f t="shared" si="23"/>
        <v>0.4999818073765024</v>
      </c>
      <c r="H367" s="62">
        <v>22355</v>
      </c>
      <c r="I367" s="63">
        <f t="shared" si="24"/>
        <v>14428.925</v>
      </c>
      <c r="J367" s="63">
        <f t="shared" si="25"/>
        <v>17884</v>
      </c>
      <c r="K367" s="172">
        <f t="shared" si="26"/>
        <v>14429</v>
      </c>
      <c r="L367" s="156"/>
      <c r="M367" s="173"/>
      <c r="N367" s="173"/>
      <c r="O367" s="190"/>
      <c r="P367" s="13"/>
    </row>
    <row r="368" spans="1:16" ht="15.75">
      <c r="A368" s="13">
        <v>363</v>
      </c>
      <c r="B368" s="60">
        <v>580407880</v>
      </c>
      <c r="C368" s="61" t="s">
        <v>377</v>
      </c>
      <c r="D368" s="61" t="s">
        <v>60</v>
      </c>
      <c r="E368" s="53">
        <v>249980</v>
      </c>
      <c r="F368" s="53">
        <v>124990</v>
      </c>
      <c r="G368" s="54">
        <f t="shared" si="23"/>
        <v>0.5</v>
      </c>
      <c r="H368" s="62">
        <v>245375</v>
      </c>
      <c r="I368" s="63">
        <f t="shared" si="24"/>
        <v>174986</v>
      </c>
      <c r="J368" s="63">
        <f t="shared" si="25"/>
        <v>196300</v>
      </c>
      <c r="K368" s="172">
        <f t="shared" si="26"/>
        <v>174986</v>
      </c>
      <c r="L368" s="156"/>
      <c r="M368" s="173"/>
      <c r="N368" s="173"/>
      <c r="O368" s="190"/>
      <c r="P368" s="13"/>
    </row>
    <row r="369" spans="1:16" ht="15.75">
      <c r="A369">
        <v>364</v>
      </c>
      <c r="B369" s="60">
        <v>580408847</v>
      </c>
      <c r="C369" s="61" t="s">
        <v>448</v>
      </c>
      <c r="D369" s="61" t="s">
        <v>60</v>
      </c>
      <c r="E369" s="53">
        <v>138093</v>
      </c>
      <c r="F369" s="53">
        <v>69047</v>
      </c>
      <c r="G369" s="54">
        <f aca="true" t="shared" si="27" ref="G369:G383">F369/E369</f>
        <v>0.5000036207483363</v>
      </c>
      <c r="H369" s="62">
        <v>144765</v>
      </c>
      <c r="I369" s="63">
        <f t="shared" si="24"/>
        <v>96665.09999999999</v>
      </c>
      <c r="J369" s="63">
        <f t="shared" si="25"/>
        <v>115812</v>
      </c>
      <c r="K369" s="172">
        <f t="shared" si="26"/>
        <v>96665</v>
      </c>
      <c r="L369" s="156"/>
      <c r="M369" s="173"/>
      <c r="N369" s="173"/>
      <c r="O369" s="190"/>
      <c r="P369" s="13"/>
    </row>
    <row r="370" spans="1:16" ht="15.75">
      <c r="A370" s="13">
        <v>365</v>
      </c>
      <c r="B370" s="60">
        <v>580409605</v>
      </c>
      <c r="C370" s="60" t="s">
        <v>638</v>
      </c>
      <c r="D370" s="61" t="s">
        <v>60</v>
      </c>
      <c r="E370" s="53">
        <v>30680.75</v>
      </c>
      <c r="F370" s="53">
        <v>15340</v>
      </c>
      <c r="G370" s="54">
        <f t="shared" si="27"/>
        <v>0.4999877773522486</v>
      </c>
      <c r="H370" s="62">
        <v>28517</v>
      </c>
      <c r="I370" s="63">
        <f t="shared" si="24"/>
        <v>21476.524999999998</v>
      </c>
      <c r="J370" s="63">
        <f t="shared" si="25"/>
        <v>22813.600000000002</v>
      </c>
      <c r="K370" s="172">
        <f t="shared" si="26"/>
        <v>21477</v>
      </c>
      <c r="L370" s="156"/>
      <c r="M370" s="173"/>
      <c r="N370" s="173"/>
      <c r="O370" s="190"/>
      <c r="P370" s="13"/>
    </row>
    <row r="371" spans="1:16" ht="15.75">
      <c r="A371">
        <v>366</v>
      </c>
      <c r="B371" s="60">
        <v>580410108</v>
      </c>
      <c r="C371" s="61" t="s">
        <v>176</v>
      </c>
      <c r="D371" s="65" t="s">
        <v>63</v>
      </c>
      <c r="E371" s="53">
        <v>119570.75</v>
      </c>
      <c r="F371" s="53">
        <v>59785</v>
      </c>
      <c r="G371" s="54">
        <f t="shared" si="27"/>
        <v>0.499996863781485</v>
      </c>
      <c r="H371" s="62">
        <v>62151</v>
      </c>
      <c r="I371" s="63">
        <f t="shared" si="24"/>
        <v>83699.525</v>
      </c>
      <c r="J371" s="63">
        <f t="shared" si="25"/>
        <v>49720.8</v>
      </c>
      <c r="K371" s="172">
        <f t="shared" si="26"/>
        <v>0</v>
      </c>
      <c r="L371" s="156"/>
      <c r="M371" s="173"/>
      <c r="N371" s="173"/>
      <c r="O371" s="190"/>
      <c r="P371" s="13"/>
    </row>
    <row r="372" spans="1:16" ht="15.75">
      <c r="A372" s="13">
        <v>367</v>
      </c>
      <c r="B372" s="60">
        <v>580410694</v>
      </c>
      <c r="C372" s="61" t="s">
        <v>287</v>
      </c>
      <c r="D372" s="61" t="s">
        <v>60</v>
      </c>
      <c r="E372" s="53">
        <v>36332</v>
      </c>
      <c r="F372" s="53">
        <v>18166</v>
      </c>
      <c r="G372" s="54">
        <f t="shared" si="27"/>
        <v>0.5</v>
      </c>
      <c r="H372" s="62">
        <v>52119</v>
      </c>
      <c r="I372" s="63">
        <f t="shared" si="24"/>
        <v>25432.399999999998</v>
      </c>
      <c r="J372" s="63">
        <f t="shared" si="25"/>
        <v>41695.200000000004</v>
      </c>
      <c r="K372" s="172">
        <f t="shared" si="26"/>
        <v>25432</v>
      </c>
      <c r="L372" s="156"/>
      <c r="M372" s="173"/>
      <c r="N372" s="173"/>
      <c r="O372" s="190"/>
      <c r="P372" s="13"/>
    </row>
    <row r="373" spans="1:16" ht="15.75">
      <c r="A373">
        <v>368</v>
      </c>
      <c r="B373" s="60">
        <v>580410991</v>
      </c>
      <c r="C373" s="61" t="s">
        <v>177</v>
      </c>
      <c r="D373" s="61" t="s">
        <v>60</v>
      </c>
      <c r="E373" s="53">
        <v>60017</v>
      </c>
      <c r="F373" s="53">
        <v>30009</v>
      </c>
      <c r="G373" s="54">
        <f t="shared" si="27"/>
        <v>0.500008330972891</v>
      </c>
      <c r="H373" s="62">
        <v>59688</v>
      </c>
      <c r="I373" s="63">
        <f t="shared" si="24"/>
        <v>42011.899999999994</v>
      </c>
      <c r="J373" s="63">
        <f t="shared" si="25"/>
        <v>47750.4</v>
      </c>
      <c r="K373" s="172">
        <f t="shared" si="26"/>
        <v>42012</v>
      </c>
      <c r="L373" s="156"/>
      <c r="M373" s="173"/>
      <c r="N373" s="173"/>
      <c r="O373" s="190"/>
      <c r="P373" s="13"/>
    </row>
    <row r="374" spans="1:16" ht="15.75">
      <c r="A374" s="13">
        <v>369</v>
      </c>
      <c r="B374" s="60">
        <v>580411858</v>
      </c>
      <c r="C374" s="61" t="s">
        <v>288</v>
      </c>
      <c r="D374" s="65" t="s">
        <v>63</v>
      </c>
      <c r="E374" s="53">
        <v>187381</v>
      </c>
      <c r="F374" s="53">
        <v>93691</v>
      </c>
      <c r="G374" s="54">
        <f t="shared" si="27"/>
        <v>0.5000026683601859</v>
      </c>
      <c r="H374" s="62">
        <v>196435</v>
      </c>
      <c r="I374" s="63">
        <f t="shared" si="24"/>
        <v>131166.69999999998</v>
      </c>
      <c r="J374" s="63">
        <f t="shared" si="25"/>
        <v>157148</v>
      </c>
      <c r="K374" s="172">
        <f t="shared" si="26"/>
        <v>131167</v>
      </c>
      <c r="L374" s="156"/>
      <c r="M374" s="173"/>
      <c r="N374" s="173"/>
      <c r="O374" s="190"/>
      <c r="P374" s="13"/>
    </row>
    <row r="375" spans="1:16" ht="15">
      <c r="A375">
        <v>370</v>
      </c>
      <c r="B375" s="89">
        <v>580411908</v>
      </c>
      <c r="C375" s="90" t="s">
        <v>289</v>
      </c>
      <c r="D375" s="90" t="s">
        <v>72</v>
      </c>
      <c r="E375" s="53">
        <v>110779.25</v>
      </c>
      <c r="F375" s="53">
        <v>55390</v>
      </c>
      <c r="G375" s="54">
        <f t="shared" si="27"/>
        <v>0.5000033851104787</v>
      </c>
      <c r="H375" s="62">
        <v>115739</v>
      </c>
      <c r="I375" s="63">
        <f t="shared" si="24"/>
        <v>77545.47499999999</v>
      </c>
      <c r="J375" s="63">
        <f t="shared" si="25"/>
        <v>92591.20000000001</v>
      </c>
      <c r="K375" s="172">
        <f t="shared" si="26"/>
        <v>77545</v>
      </c>
      <c r="L375" s="156"/>
      <c r="M375" s="173"/>
      <c r="N375" s="173"/>
      <c r="O375" s="190"/>
      <c r="P375" s="13"/>
    </row>
    <row r="376" spans="1:16" ht="15.75">
      <c r="A376" s="13">
        <v>371</v>
      </c>
      <c r="B376" s="60">
        <v>580413961</v>
      </c>
      <c r="C376" s="61" t="s">
        <v>178</v>
      </c>
      <c r="D376" s="61" t="s">
        <v>94</v>
      </c>
      <c r="E376" s="53">
        <v>208300.5</v>
      </c>
      <c r="F376" s="53">
        <v>104150</v>
      </c>
      <c r="G376" s="54">
        <f t="shared" si="27"/>
        <v>0.4999987998108502</v>
      </c>
      <c r="H376" s="62">
        <v>216117</v>
      </c>
      <c r="I376" s="63">
        <f t="shared" si="24"/>
        <v>145810.34999999998</v>
      </c>
      <c r="J376" s="63">
        <f t="shared" si="25"/>
        <v>172893.6</v>
      </c>
      <c r="K376" s="172">
        <f t="shared" si="26"/>
        <v>145810</v>
      </c>
      <c r="L376" s="156"/>
      <c r="M376" s="173"/>
      <c r="N376" s="173"/>
      <c r="O376" s="190"/>
      <c r="P376" s="13"/>
    </row>
    <row r="377" spans="1:16" ht="15.75">
      <c r="A377">
        <v>372</v>
      </c>
      <c r="B377" s="60">
        <v>580413995</v>
      </c>
      <c r="C377" s="61" t="s">
        <v>179</v>
      </c>
      <c r="D377" s="65" t="s">
        <v>63</v>
      </c>
      <c r="E377" s="53">
        <v>120354.5</v>
      </c>
      <c r="F377" s="53">
        <v>60177</v>
      </c>
      <c r="G377" s="54">
        <f t="shared" si="27"/>
        <v>0.49999792280305266</v>
      </c>
      <c r="H377" s="62">
        <v>110852</v>
      </c>
      <c r="I377" s="63">
        <f t="shared" si="24"/>
        <v>84248.15</v>
      </c>
      <c r="J377" s="63">
        <f t="shared" si="25"/>
        <v>88681.6</v>
      </c>
      <c r="K377" s="172">
        <f t="shared" si="26"/>
        <v>84248</v>
      </c>
      <c r="L377" s="156"/>
      <c r="M377" s="173"/>
      <c r="N377" s="173"/>
      <c r="O377" s="190"/>
      <c r="P377" s="13"/>
    </row>
    <row r="378" spans="1:16" ht="15.75">
      <c r="A378" s="13">
        <v>373</v>
      </c>
      <c r="B378" s="60">
        <v>580414266</v>
      </c>
      <c r="C378" s="61" t="s">
        <v>526</v>
      </c>
      <c r="D378" s="61" t="s">
        <v>60</v>
      </c>
      <c r="E378" s="53">
        <v>316573.25</v>
      </c>
      <c r="F378" s="53">
        <v>158287</v>
      </c>
      <c r="G378" s="54">
        <f t="shared" si="27"/>
        <v>0.5000011845599716</v>
      </c>
      <c r="H378" s="62">
        <v>292665</v>
      </c>
      <c r="I378" s="63">
        <f t="shared" si="24"/>
        <v>221601.275</v>
      </c>
      <c r="J378" s="63">
        <f t="shared" si="25"/>
        <v>234132</v>
      </c>
      <c r="K378" s="172">
        <f t="shared" si="26"/>
        <v>221601</v>
      </c>
      <c r="L378" s="156"/>
      <c r="M378" s="173"/>
      <c r="N378" s="173"/>
      <c r="O378" s="190"/>
      <c r="P378" s="13"/>
    </row>
    <row r="379" spans="1:16" ht="15.75">
      <c r="A379">
        <v>374</v>
      </c>
      <c r="B379" s="60">
        <v>580414613</v>
      </c>
      <c r="C379" s="61" t="s">
        <v>180</v>
      </c>
      <c r="D379" s="61" t="s">
        <v>60</v>
      </c>
      <c r="E379" s="53">
        <v>267434.5</v>
      </c>
      <c r="F379" s="53">
        <v>133717</v>
      </c>
      <c r="G379" s="54">
        <f t="shared" si="27"/>
        <v>0.49999906519166376</v>
      </c>
      <c r="H379" s="62">
        <v>221705</v>
      </c>
      <c r="I379" s="63">
        <f t="shared" si="24"/>
        <v>187204.15</v>
      </c>
      <c r="J379" s="63">
        <f t="shared" si="25"/>
        <v>177364</v>
      </c>
      <c r="K379" s="172">
        <f t="shared" si="26"/>
        <v>177364</v>
      </c>
      <c r="L379" s="156"/>
      <c r="M379" s="173"/>
      <c r="N379" s="173"/>
      <c r="O379" s="190"/>
      <c r="P379" s="13"/>
    </row>
    <row r="380" spans="1:16" ht="15.75">
      <c r="A380" s="13">
        <v>375</v>
      </c>
      <c r="B380" s="60">
        <v>580415040</v>
      </c>
      <c r="C380" s="61" t="s">
        <v>600</v>
      </c>
      <c r="D380" s="65" t="s">
        <v>63</v>
      </c>
      <c r="E380" s="53">
        <v>248810.75</v>
      </c>
      <c r="F380" s="53">
        <v>99524</v>
      </c>
      <c r="G380" s="54">
        <f t="shared" si="27"/>
        <v>0.39999879426431534</v>
      </c>
      <c r="H380" s="62">
        <v>294848</v>
      </c>
      <c r="I380" s="63">
        <f t="shared" si="24"/>
        <v>174167.525</v>
      </c>
      <c r="J380" s="63">
        <f t="shared" si="25"/>
        <v>235878.40000000002</v>
      </c>
      <c r="K380" s="172">
        <f t="shared" si="26"/>
        <v>174168</v>
      </c>
      <c r="L380" s="156"/>
      <c r="M380" s="173"/>
      <c r="N380" s="173"/>
      <c r="O380" s="190"/>
      <c r="P380" s="13"/>
    </row>
    <row r="381" spans="1:16" ht="15.75">
      <c r="A381">
        <v>376</v>
      </c>
      <c r="B381" s="60">
        <v>580416824</v>
      </c>
      <c r="C381" s="61" t="s">
        <v>449</v>
      </c>
      <c r="D381" s="65" t="s">
        <v>63</v>
      </c>
      <c r="E381" s="53">
        <v>791606</v>
      </c>
      <c r="F381" s="53">
        <v>395803</v>
      </c>
      <c r="G381" s="54">
        <f t="shared" si="27"/>
        <v>0.5</v>
      </c>
      <c r="H381" s="62">
        <v>778486</v>
      </c>
      <c r="I381" s="63">
        <f t="shared" si="24"/>
        <v>554124.2</v>
      </c>
      <c r="J381" s="63">
        <f t="shared" si="25"/>
        <v>622788.8</v>
      </c>
      <c r="K381" s="172">
        <f t="shared" si="26"/>
        <v>554124</v>
      </c>
      <c r="L381" s="156"/>
      <c r="M381" s="173"/>
      <c r="N381" s="173"/>
      <c r="O381" s="190"/>
      <c r="P381" s="13"/>
    </row>
    <row r="382" spans="1:16" ht="15.75">
      <c r="A382" s="13">
        <v>377</v>
      </c>
      <c r="B382" s="60">
        <v>580417020</v>
      </c>
      <c r="C382" s="61" t="s">
        <v>290</v>
      </c>
      <c r="D382" s="65" t="s">
        <v>63</v>
      </c>
      <c r="E382" s="53">
        <v>60103.5</v>
      </c>
      <c r="F382" s="53">
        <v>30052</v>
      </c>
      <c r="G382" s="54">
        <f t="shared" si="27"/>
        <v>0.5000041594915438</v>
      </c>
      <c r="H382" s="62">
        <v>87110</v>
      </c>
      <c r="I382" s="63">
        <f t="shared" si="24"/>
        <v>42072.45</v>
      </c>
      <c r="J382" s="63">
        <f t="shared" si="25"/>
        <v>69688</v>
      </c>
      <c r="K382" s="172">
        <f t="shared" si="26"/>
        <v>42072</v>
      </c>
      <c r="L382" s="156"/>
      <c r="M382" s="173"/>
      <c r="N382" s="173"/>
      <c r="O382" s="190"/>
      <c r="P382" s="13"/>
    </row>
    <row r="383" spans="1:16" ht="15.75">
      <c r="A383">
        <v>378</v>
      </c>
      <c r="B383" s="60">
        <v>580417509</v>
      </c>
      <c r="C383" s="61" t="s">
        <v>181</v>
      </c>
      <c r="D383" s="65" t="s">
        <v>63</v>
      </c>
      <c r="E383" s="53">
        <v>1391098</v>
      </c>
      <c r="F383" s="53">
        <v>695549</v>
      </c>
      <c r="G383" s="54">
        <f t="shared" si="27"/>
        <v>0.5</v>
      </c>
      <c r="H383" s="62">
        <v>1345008</v>
      </c>
      <c r="I383" s="63">
        <f t="shared" si="24"/>
        <v>973768.6</v>
      </c>
      <c r="J383" s="63">
        <f t="shared" si="25"/>
        <v>1076006.4000000001</v>
      </c>
      <c r="K383" s="172">
        <f t="shared" si="26"/>
        <v>973769</v>
      </c>
      <c r="L383" s="156"/>
      <c r="M383" s="173"/>
      <c r="N383" s="173"/>
      <c r="O383" s="190"/>
      <c r="P383" s="13"/>
    </row>
    <row r="384" spans="1:16" ht="15.75">
      <c r="A384" s="13">
        <v>710</v>
      </c>
      <c r="B384" s="175">
        <v>580417509</v>
      </c>
      <c r="C384" s="178" t="s">
        <v>181</v>
      </c>
      <c r="D384" s="1"/>
      <c r="E384" s="182"/>
      <c r="F384" s="182">
        <v>0</v>
      </c>
      <c r="G384" s="185">
        <f>_xlfn.IFERROR(F384/E384,"")</f>
      </c>
      <c r="H384" s="182">
        <v>249090</v>
      </c>
      <c r="I384" s="63">
        <f t="shared" si="24"/>
        <v>0</v>
      </c>
      <c r="J384" s="63">
        <f t="shared" si="25"/>
        <v>199272</v>
      </c>
      <c r="K384" s="189">
        <f t="shared" si="26"/>
        <v>0</v>
      </c>
      <c r="L384" s="156"/>
      <c r="M384" s="173"/>
      <c r="N384" s="173"/>
      <c r="O384" s="190"/>
      <c r="P384" s="13"/>
    </row>
    <row r="385" spans="1:16" ht="15.75">
      <c r="A385" s="13">
        <v>379</v>
      </c>
      <c r="B385" s="60">
        <v>580417608</v>
      </c>
      <c r="C385" s="61" t="s">
        <v>182</v>
      </c>
      <c r="D385" s="65" t="s">
        <v>63</v>
      </c>
      <c r="E385" s="53">
        <v>447536.25</v>
      </c>
      <c r="F385" s="53">
        <v>223768</v>
      </c>
      <c r="G385" s="54">
        <f aca="true" t="shared" si="28" ref="G385:G448">F385/E385</f>
        <v>0.4999997206930165</v>
      </c>
      <c r="H385" s="62">
        <v>130927</v>
      </c>
      <c r="I385" s="63">
        <f t="shared" si="24"/>
        <v>313275.375</v>
      </c>
      <c r="J385" s="63">
        <f t="shared" si="25"/>
        <v>104741.6</v>
      </c>
      <c r="K385" s="172">
        <f t="shared" si="26"/>
        <v>0</v>
      </c>
      <c r="L385" s="156"/>
      <c r="M385" s="173"/>
      <c r="N385" s="173"/>
      <c r="O385" s="190"/>
      <c r="P385" s="13"/>
    </row>
    <row r="386" spans="1:16" ht="15.75">
      <c r="A386">
        <v>380</v>
      </c>
      <c r="B386" s="60">
        <v>580417681</v>
      </c>
      <c r="C386" s="61" t="s">
        <v>601</v>
      </c>
      <c r="D386" s="61" t="s">
        <v>60</v>
      </c>
      <c r="E386" s="53">
        <v>176726</v>
      </c>
      <c r="F386" s="53">
        <v>88363</v>
      </c>
      <c r="G386" s="54">
        <f t="shared" si="28"/>
        <v>0.5</v>
      </c>
      <c r="H386" s="62">
        <v>147686</v>
      </c>
      <c r="I386" s="63">
        <f t="shared" si="24"/>
        <v>123708.2</v>
      </c>
      <c r="J386" s="63">
        <f t="shared" si="25"/>
        <v>118148.8</v>
      </c>
      <c r="K386" s="172">
        <f t="shared" si="26"/>
        <v>118149</v>
      </c>
      <c r="L386" s="156"/>
      <c r="M386" s="173"/>
      <c r="N386" s="173"/>
      <c r="O386" s="190"/>
      <c r="P386" s="13"/>
    </row>
    <row r="387" spans="1:16" ht="15.75">
      <c r="A387" s="13">
        <v>381</v>
      </c>
      <c r="B387" s="60">
        <v>580417715</v>
      </c>
      <c r="C387" s="61" t="s">
        <v>378</v>
      </c>
      <c r="D387" s="65" t="s">
        <v>63</v>
      </c>
      <c r="E387" s="53">
        <v>87894</v>
      </c>
      <c r="F387" s="53">
        <v>43947</v>
      </c>
      <c r="G387" s="54">
        <f t="shared" si="28"/>
        <v>0.5</v>
      </c>
      <c r="H387" s="62">
        <v>116123</v>
      </c>
      <c r="I387" s="63">
        <f t="shared" si="24"/>
        <v>61525.799999999996</v>
      </c>
      <c r="J387" s="63">
        <f t="shared" si="25"/>
        <v>92898.40000000001</v>
      </c>
      <c r="K387" s="172">
        <f t="shared" si="26"/>
        <v>61526</v>
      </c>
      <c r="L387" s="156"/>
      <c r="M387" s="173"/>
      <c r="N387" s="173"/>
      <c r="O387" s="190"/>
      <c r="P387" s="13"/>
    </row>
    <row r="388" spans="1:16" ht="15.75">
      <c r="A388">
        <v>382</v>
      </c>
      <c r="B388" s="60">
        <v>580418226</v>
      </c>
      <c r="C388" s="61" t="s">
        <v>379</v>
      </c>
      <c r="D388" s="65" t="s">
        <v>63</v>
      </c>
      <c r="E388" s="53">
        <v>51911</v>
      </c>
      <c r="F388" s="53">
        <v>20764</v>
      </c>
      <c r="G388" s="54">
        <f t="shared" si="28"/>
        <v>0.399992294504055</v>
      </c>
      <c r="H388" s="62">
        <v>58908</v>
      </c>
      <c r="I388" s="63">
        <f t="shared" si="24"/>
        <v>36337.7</v>
      </c>
      <c r="J388" s="63">
        <f t="shared" si="25"/>
        <v>47126.4</v>
      </c>
      <c r="K388" s="172">
        <f t="shared" si="26"/>
        <v>36338</v>
      </c>
      <c r="L388" s="156"/>
      <c r="M388" s="173"/>
      <c r="N388" s="173"/>
      <c r="O388" s="190"/>
      <c r="P388" s="13"/>
    </row>
    <row r="389" spans="1:16" ht="15.75">
      <c r="A389" s="13">
        <v>383</v>
      </c>
      <c r="B389" s="60">
        <v>580418663</v>
      </c>
      <c r="C389" s="61" t="s">
        <v>702</v>
      </c>
      <c r="D389" s="61" t="s">
        <v>60</v>
      </c>
      <c r="E389" s="53">
        <v>201726.25</v>
      </c>
      <c r="F389" s="53">
        <v>100863</v>
      </c>
      <c r="G389" s="54">
        <f t="shared" si="28"/>
        <v>0.49999938034836816</v>
      </c>
      <c r="H389" s="62">
        <v>202337</v>
      </c>
      <c r="I389" s="63">
        <f aca="true" t="shared" si="29" ref="I389:I452">E389*$I$2</f>
        <v>141208.375</v>
      </c>
      <c r="J389" s="63">
        <f aca="true" t="shared" si="30" ref="J389:J452">H389*$J$2</f>
        <v>161869.6</v>
      </c>
      <c r="K389" s="172">
        <f aca="true" t="shared" si="31" ref="K389:K452">ROUND(IF(IF(MIN(I389,J389)&lt;F389,MIN(I389,J389)-F389,MIN(I389,J389))&lt;0,0,IF(MIN(I389,J389)&lt;F389,MIN(I389,J389)-F389,MIN(I389,J389))),0)</f>
        <v>141208</v>
      </c>
      <c r="L389" s="156"/>
      <c r="M389" s="173"/>
      <c r="N389" s="173"/>
      <c r="O389" s="190"/>
      <c r="P389" s="13"/>
    </row>
    <row r="390" spans="1:16" ht="15.75">
      <c r="A390">
        <v>384</v>
      </c>
      <c r="B390" s="60">
        <v>580418689</v>
      </c>
      <c r="C390" s="60" t="s">
        <v>639</v>
      </c>
      <c r="D390" s="61" t="s">
        <v>60</v>
      </c>
      <c r="E390" s="53">
        <v>43234</v>
      </c>
      <c r="F390" s="53">
        <v>21617</v>
      </c>
      <c r="G390" s="54">
        <f t="shared" si="28"/>
        <v>0.5</v>
      </c>
      <c r="H390" s="62">
        <v>34855</v>
      </c>
      <c r="I390" s="63">
        <f t="shared" si="29"/>
        <v>30263.8</v>
      </c>
      <c r="J390" s="63">
        <f t="shared" si="30"/>
        <v>27884</v>
      </c>
      <c r="K390" s="172">
        <f t="shared" si="31"/>
        <v>27884</v>
      </c>
      <c r="L390" s="156"/>
      <c r="M390" s="173"/>
      <c r="N390" s="173"/>
      <c r="O390" s="190"/>
      <c r="P390" s="13"/>
    </row>
    <row r="391" spans="1:16" ht="15.75">
      <c r="A391" s="13">
        <v>385</v>
      </c>
      <c r="B391" s="85">
        <v>580418820</v>
      </c>
      <c r="C391" s="61" t="s">
        <v>380</v>
      </c>
      <c r="D391" s="61" t="s">
        <v>60</v>
      </c>
      <c r="E391" s="53">
        <v>78370.5</v>
      </c>
      <c r="F391" s="53">
        <v>39185</v>
      </c>
      <c r="G391" s="54">
        <f t="shared" si="28"/>
        <v>0.49999681002418</v>
      </c>
      <c r="H391" s="62">
        <v>109280</v>
      </c>
      <c r="I391" s="63">
        <f t="shared" si="29"/>
        <v>54859.35</v>
      </c>
      <c r="J391" s="63">
        <f t="shared" si="30"/>
        <v>87424</v>
      </c>
      <c r="K391" s="172">
        <f t="shared" si="31"/>
        <v>54859</v>
      </c>
      <c r="L391" s="156"/>
      <c r="M391" s="173"/>
      <c r="N391" s="173"/>
      <c r="O391" s="190"/>
      <c r="P391" s="13"/>
    </row>
    <row r="392" spans="1:16" ht="15.75">
      <c r="A392">
        <v>386</v>
      </c>
      <c r="B392" s="60">
        <v>580418853</v>
      </c>
      <c r="C392" s="61" t="s">
        <v>183</v>
      </c>
      <c r="D392" s="65" t="s">
        <v>63</v>
      </c>
      <c r="E392" s="53">
        <v>154496.75</v>
      </c>
      <c r="F392" s="53">
        <v>77248</v>
      </c>
      <c r="G392" s="54">
        <f t="shared" si="28"/>
        <v>0.49999757276447565</v>
      </c>
      <c r="H392" s="62">
        <v>177329</v>
      </c>
      <c r="I392" s="63">
        <f t="shared" si="29"/>
        <v>108147.72499999999</v>
      </c>
      <c r="J392" s="63">
        <f t="shared" si="30"/>
        <v>141863.2</v>
      </c>
      <c r="K392" s="172">
        <f t="shared" si="31"/>
        <v>108148</v>
      </c>
      <c r="L392" s="156"/>
      <c r="M392" s="173"/>
      <c r="N392" s="173"/>
      <c r="O392" s="190"/>
      <c r="P392" s="13"/>
    </row>
    <row r="393" spans="1:16" ht="15.75">
      <c r="A393" s="13">
        <v>387</v>
      </c>
      <c r="B393" s="60">
        <v>580418960</v>
      </c>
      <c r="C393" s="61" t="s">
        <v>381</v>
      </c>
      <c r="D393" s="65" t="s">
        <v>63</v>
      </c>
      <c r="E393" s="53">
        <v>689874</v>
      </c>
      <c r="F393" s="53">
        <v>344937</v>
      </c>
      <c r="G393" s="54">
        <f t="shared" si="28"/>
        <v>0.5</v>
      </c>
      <c r="H393" s="62">
        <v>1007639</v>
      </c>
      <c r="I393" s="63">
        <f t="shared" si="29"/>
        <v>482911.8</v>
      </c>
      <c r="J393" s="63">
        <f t="shared" si="30"/>
        <v>806111.2000000001</v>
      </c>
      <c r="K393" s="172">
        <f t="shared" si="31"/>
        <v>482912</v>
      </c>
      <c r="L393" s="156"/>
      <c r="M393" s="173"/>
      <c r="N393" s="173"/>
      <c r="O393" s="190"/>
      <c r="P393" s="13"/>
    </row>
    <row r="394" spans="1:16" ht="15.75">
      <c r="A394">
        <v>388</v>
      </c>
      <c r="B394" s="60">
        <v>580419216</v>
      </c>
      <c r="C394" s="61" t="s">
        <v>382</v>
      </c>
      <c r="D394" s="61" t="s">
        <v>60</v>
      </c>
      <c r="E394" s="53">
        <v>51058</v>
      </c>
      <c r="F394" s="53">
        <v>21978</v>
      </c>
      <c r="G394" s="54">
        <f t="shared" si="28"/>
        <v>0.43045164322926865</v>
      </c>
      <c r="H394" s="62">
        <v>58824</v>
      </c>
      <c r="I394" s="63">
        <f t="shared" si="29"/>
        <v>35740.6</v>
      </c>
      <c r="J394" s="63">
        <f t="shared" si="30"/>
        <v>47059.200000000004</v>
      </c>
      <c r="K394" s="172">
        <f t="shared" si="31"/>
        <v>35741</v>
      </c>
      <c r="L394" s="156"/>
      <c r="M394" s="173"/>
      <c r="N394" s="173"/>
      <c r="O394" s="190"/>
      <c r="P394" s="13"/>
    </row>
    <row r="395" spans="1:16" ht="15.75">
      <c r="A395" s="13">
        <v>389</v>
      </c>
      <c r="B395" s="101">
        <v>580419315</v>
      </c>
      <c r="C395" s="103" t="s">
        <v>667</v>
      </c>
      <c r="D395" s="104" t="s">
        <v>63</v>
      </c>
      <c r="E395" s="53">
        <v>270879.75</v>
      </c>
      <c r="F395" s="53">
        <v>135440</v>
      </c>
      <c r="G395" s="54">
        <f t="shared" si="28"/>
        <v>0.5000004614593745</v>
      </c>
      <c r="H395" s="62">
        <v>283544</v>
      </c>
      <c r="I395" s="63">
        <f t="shared" si="29"/>
        <v>189615.82499999998</v>
      </c>
      <c r="J395" s="63">
        <f t="shared" si="30"/>
        <v>226835.2</v>
      </c>
      <c r="K395" s="172">
        <f t="shared" si="31"/>
        <v>189616</v>
      </c>
      <c r="L395" s="156"/>
      <c r="M395" s="173"/>
      <c r="N395" s="173"/>
      <c r="O395" s="190"/>
      <c r="P395" s="13"/>
    </row>
    <row r="396" spans="1:16" ht="15">
      <c r="A396">
        <v>390</v>
      </c>
      <c r="B396" s="66">
        <v>580419810</v>
      </c>
      <c r="C396" s="66" t="s">
        <v>558</v>
      </c>
      <c r="D396" s="16" t="s">
        <v>63</v>
      </c>
      <c r="E396" s="53">
        <v>150508.25</v>
      </c>
      <c r="F396" s="53">
        <v>75254</v>
      </c>
      <c r="G396" s="54">
        <f t="shared" si="28"/>
        <v>0.49999916948074274</v>
      </c>
      <c r="H396" s="62">
        <v>163980</v>
      </c>
      <c r="I396" s="63">
        <f t="shared" si="29"/>
        <v>105355.775</v>
      </c>
      <c r="J396" s="63">
        <f t="shared" si="30"/>
        <v>131184</v>
      </c>
      <c r="K396" s="172">
        <f t="shared" si="31"/>
        <v>105356</v>
      </c>
      <c r="L396" s="156"/>
      <c r="M396" s="173"/>
      <c r="N396" s="173"/>
      <c r="O396" s="190"/>
      <c r="P396" s="13"/>
    </row>
    <row r="397" spans="1:16" ht="15.75">
      <c r="A397" s="13">
        <v>391</v>
      </c>
      <c r="B397" s="60">
        <v>580419950</v>
      </c>
      <c r="C397" s="61" t="s">
        <v>291</v>
      </c>
      <c r="D397" s="61" t="s">
        <v>60</v>
      </c>
      <c r="E397" s="53">
        <v>110632.5</v>
      </c>
      <c r="F397" s="53">
        <v>55316</v>
      </c>
      <c r="G397" s="54">
        <f t="shared" si="28"/>
        <v>0.49999774026619664</v>
      </c>
      <c r="H397" s="62">
        <v>131102</v>
      </c>
      <c r="I397" s="63">
        <f t="shared" si="29"/>
        <v>77442.75</v>
      </c>
      <c r="J397" s="63">
        <f t="shared" si="30"/>
        <v>104881.6</v>
      </c>
      <c r="K397" s="172">
        <f t="shared" si="31"/>
        <v>77443</v>
      </c>
      <c r="L397" s="156"/>
      <c r="M397" s="173"/>
      <c r="N397" s="173"/>
      <c r="O397" s="190"/>
      <c r="P397" s="13"/>
    </row>
    <row r="398" spans="1:16" ht="15.75">
      <c r="A398">
        <v>392</v>
      </c>
      <c r="B398" s="60">
        <v>580420347</v>
      </c>
      <c r="C398" s="61" t="s">
        <v>292</v>
      </c>
      <c r="D398" s="65" t="s">
        <v>63</v>
      </c>
      <c r="E398" s="53">
        <v>364954.75</v>
      </c>
      <c r="F398" s="53">
        <v>182477</v>
      </c>
      <c r="G398" s="54">
        <f t="shared" si="28"/>
        <v>0.4999989724753548</v>
      </c>
      <c r="H398" s="62">
        <v>439445</v>
      </c>
      <c r="I398" s="63">
        <f t="shared" si="29"/>
        <v>255468.32499999998</v>
      </c>
      <c r="J398" s="63">
        <f t="shared" si="30"/>
        <v>351556</v>
      </c>
      <c r="K398" s="172">
        <f t="shared" si="31"/>
        <v>255468</v>
      </c>
      <c r="L398" s="156"/>
      <c r="M398" s="173"/>
      <c r="N398" s="173"/>
      <c r="O398" s="190"/>
      <c r="P398" s="13"/>
    </row>
    <row r="399" spans="1:16" ht="15.75">
      <c r="A399" s="13">
        <v>393</v>
      </c>
      <c r="B399" s="60">
        <v>580420768</v>
      </c>
      <c r="C399" s="61" t="s">
        <v>383</v>
      </c>
      <c r="D399" s="65" t="s">
        <v>63</v>
      </c>
      <c r="E399" s="53">
        <v>150414.75</v>
      </c>
      <c r="F399" s="53">
        <v>75207</v>
      </c>
      <c r="G399" s="54">
        <f t="shared" si="28"/>
        <v>0.49999750689343964</v>
      </c>
      <c r="H399" s="62">
        <v>204379</v>
      </c>
      <c r="I399" s="63">
        <f t="shared" si="29"/>
        <v>105290.325</v>
      </c>
      <c r="J399" s="63">
        <f t="shared" si="30"/>
        <v>163503.2</v>
      </c>
      <c r="K399" s="172">
        <f t="shared" si="31"/>
        <v>105290</v>
      </c>
      <c r="L399" s="156"/>
      <c r="M399" s="173"/>
      <c r="N399" s="173"/>
      <c r="O399" s="190"/>
      <c r="P399" s="13"/>
    </row>
    <row r="400" spans="1:16" ht="15.75">
      <c r="A400">
        <v>394</v>
      </c>
      <c r="B400" s="101">
        <v>580420883</v>
      </c>
      <c r="C400" s="103" t="s">
        <v>668</v>
      </c>
      <c r="D400" s="104" t="s">
        <v>63</v>
      </c>
      <c r="E400" s="53">
        <v>82325.25</v>
      </c>
      <c r="F400" s="53">
        <v>41163</v>
      </c>
      <c r="G400" s="54">
        <f t="shared" si="28"/>
        <v>0.500004555103082</v>
      </c>
      <c r="H400" s="62">
        <v>115033</v>
      </c>
      <c r="I400" s="63">
        <f t="shared" si="29"/>
        <v>57627.674999999996</v>
      </c>
      <c r="J400" s="63">
        <f t="shared" si="30"/>
        <v>92026.40000000001</v>
      </c>
      <c r="K400" s="172">
        <f t="shared" si="31"/>
        <v>57628</v>
      </c>
      <c r="L400" s="156"/>
      <c r="M400" s="173"/>
      <c r="N400" s="173"/>
      <c r="O400" s="190"/>
      <c r="P400" s="13"/>
    </row>
    <row r="401" spans="1:16" ht="15.75">
      <c r="A401" s="13">
        <v>395</v>
      </c>
      <c r="B401" s="60">
        <v>580421105</v>
      </c>
      <c r="C401" s="61" t="s">
        <v>450</v>
      </c>
      <c r="D401" s="61" t="s">
        <v>60</v>
      </c>
      <c r="E401" s="53">
        <v>17423.25</v>
      </c>
      <c r="F401" s="53">
        <v>8712</v>
      </c>
      <c r="G401" s="54">
        <f t="shared" si="28"/>
        <v>0.5000215229650037</v>
      </c>
      <c r="H401" s="62">
        <v>257376</v>
      </c>
      <c r="I401" s="63">
        <f t="shared" si="29"/>
        <v>12196.275</v>
      </c>
      <c r="J401" s="63">
        <f t="shared" si="30"/>
        <v>205900.80000000002</v>
      </c>
      <c r="K401" s="172">
        <f t="shared" si="31"/>
        <v>12196</v>
      </c>
      <c r="L401" s="156"/>
      <c r="M401" s="173"/>
      <c r="N401" s="173"/>
      <c r="O401" s="190"/>
      <c r="P401" s="13"/>
    </row>
    <row r="402" spans="1:16" ht="15.75">
      <c r="A402">
        <v>396</v>
      </c>
      <c r="B402" s="61">
        <v>580421105</v>
      </c>
      <c r="C402" s="61" t="s">
        <v>451</v>
      </c>
      <c r="D402" s="61" t="s">
        <v>68</v>
      </c>
      <c r="E402" s="53">
        <v>232518</v>
      </c>
      <c r="F402" s="53">
        <v>93007</v>
      </c>
      <c r="G402" s="54">
        <f t="shared" si="28"/>
        <v>0.3999991398515384</v>
      </c>
      <c r="H402" s="62">
        <v>257376</v>
      </c>
      <c r="I402" s="63">
        <f t="shared" si="29"/>
        <v>162762.59999999998</v>
      </c>
      <c r="J402" s="63">
        <f t="shared" si="30"/>
        <v>205900.80000000002</v>
      </c>
      <c r="K402" s="172">
        <f t="shared" si="31"/>
        <v>162763</v>
      </c>
      <c r="L402" s="156"/>
      <c r="M402" s="173"/>
      <c r="N402" s="173"/>
      <c r="O402" s="190"/>
      <c r="P402" s="13"/>
    </row>
    <row r="403" spans="1:16" ht="15.75">
      <c r="A403" s="13">
        <v>397</v>
      </c>
      <c r="B403" s="61">
        <v>580421402</v>
      </c>
      <c r="C403" s="61" t="s">
        <v>384</v>
      </c>
      <c r="D403" s="61" t="s">
        <v>68</v>
      </c>
      <c r="E403" s="53">
        <v>23076.75</v>
      </c>
      <c r="F403" s="53">
        <v>11538</v>
      </c>
      <c r="G403" s="54">
        <f t="shared" si="28"/>
        <v>0.4999837498781241</v>
      </c>
      <c r="H403" s="62">
        <v>13236</v>
      </c>
      <c r="I403" s="63">
        <f t="shared" si="29"/>
        <v>16153.724999999999</v>
      </c>
      <c r="J403" s="63">
        <f t="shared" si="30"/>
        <v>10588.800000000001</v>
      </c>
      <c r="K403" s="172">
        <f t="shared" si="31"/>
        <v>0</v>
      </c>
      <c r="L403" s="156"/>
      <c r="M403" s="173"/>
      <c r="N403" s="173"/>
      <c r="O403" s="190"/>
      <c r="P403" s="13"/>
    </row>
    <row r="404" spans="1:16" ht="15.75">
      <c r="A404">
        <v>398</v>
      </c>
      <c r="B404" s="60">
        <v>580421915</v>
      </c>
      <c r="C404" s="61" t="s">
        <v>184</v>
      </c>
      <c r="D404" s="65" t="s">
        <v>63</v>
      </c>
      <c r="E404" s="53">
        <v>862744.5</v>
      </c>
      <c r="F404" s="53">
        <v>431372</v>
      </c>
      <c r="G404" s="54">
        <f t="shared" si="28"/>
        <v>0.49999971022707185</v>
      </c>
      <c r="H404" s="62">
        <v>1087553</v>
      </c>
      <c r="I404" s="63">
        <f t="shared" si="29"/>
        <v>603921.1499999999</v>
      </c>
      <c r="J404" s="63">
        <f t="shared" si="30"/>
        <v>870042.4</v>
      </c>
      <c r="K404" s="172">
        <f t="shared" si="31"/>
        <v>603921</v>
      </c>
      <c r="L404" s="156"/>
      <c r="M404" s="173"/>
      <c r="N404" s="173"/>
      <c r="O404" s="190"/>
      <c r="P404" s="13"/>
    </row>
    <row r="405" spans="1:16" ht="15.75">
      <c r="A405" s="13">
        <v>399</v>
      </c>
      <c r="B405" s="60">
        <v>580421972</v>
      </c>
      <c r="C405" s="61" t="s">
        <v>293</v>
      </c>
      <c r="D405" s="65" t="s">
        <v>63</v>
      </c>
      <c r="E405" s="53">
        <v>21993</v>
      </c>
      <c r="F405" s="53">
        <v>10997</v>
      </c>
      <c r="G405" s="54">
        <f t="shared" si="28"/>
        <v>0.5000227345064339</v>
      </c>
      <c r="H405" s="77" t="e">
        <v>#N/A</v>
      </c>
      <c r="I405" s="63">
        <f t="shared" si="29"/>
        <v>15395.099999999999</v>
      </c>
      <c r="J405" s="63" t="e">
        <f t="shared" si="30"/>
        <v>#N/A</v>
      </c>
      <c r="K405" s="172" t="e">
        <f t="shared" si="31"/>
        <v>#N/A</v>
      </c>
      <c r="L405" s="156"/>
      <c r="M405" s="173"/>
      <c r="N405" s="173"/>
      <c r="O405" s="190"/>
      <c r="P405" s="13"/>
    </row>
    <row r="406" spans="1:16" ht="15.75">
      <c r="A406">
        <v>400</v>
      </c>
      <c r="B406" s="60">
        <v>580422129</v>
      </c>
      <c r="C406" s="60" t="s">
        <v>640</v>
      </c>
      <c r="D406" s="61" t="s">
        <v>63</v>
      </c>
      <c r="E406" s="53">
        <v>13208</v>
      </c>
      <c r="F406" s="53">
        <v>6604</v>
      </c>
      <c r="G406" s="54">
        <f t="shared" si="28"/>
        <v>0.5</v>
      </c>
      <c r="H406" s="62">
        <v>43170</v>
      </c>
      <c r="I406" s="63">
        <f t="shared" si="29"/>
        <v>9245.599999999999</v>
      </c>
      <c r="J406" s="63">
        <f t="shared" si="30"/>
        <v>34536</v>
      </c>
      <c r="K406" s="172">
        <f t="shared" si="31"/>
        <v>9246</v>
      </c>
      <c r="L406" s="156"/>
      <c r="M406" s="173"/>
      <c r="N406" s="173"/>
      <c r="O406" s="190"/>
      <c r="P406" s="13"/>
    </row>
    <row r="407" spans="1:16" ht="15.75">
      <c r="A407" s="13">
        <v>401</v>
      </c>
      <c r="B407" s="60">
        <v>580422277</v>
      </c>
      <c r="C407" s="61" t="s">
        <v>452</v>
      </c>
      <c r="D407" s="61" t="s">
        <v>60</v>
      </c>
      <c r="E407" s="53">
        <v>148503.25</v>
      </c>
      <c r="F407" s="53">
        <v>74252</v>
      </c>
      <c r="G407" s="54">
        <f t="shared" si="28"/>
        <v>0.50000252519726</v>
      </c>
      <c r="H407" s="62">
        <v>91982</v>
      </c>
      <c r="I407" s="63">
        <f t="shared" si="29"/>
        <v>103952.275</v>
      </c>
      <c r="J407" s="63">
        <f t="shared" si="30"/>
        <v>73585.6</v>
      </c>
      <c r="K407" s="172">
        <f t="shared" si="31"/>
        <v>0</v>
      </c>
      <c r="L407" s="156"/>
      <c r="M407" s="173"/>
      <c r="N407" s="173"/>
      <c r="O407" s="190"/>
      <c r="P407" s="13"/>
    </row>
    <row r="408" spans="1:16" ht="15.75">
      <c r="A408">
        <v>402</v>
      </c>
      <c r="B408" s="60">
        <v>580422962</v>
      </c>
      <c r="C408" s="61" t="s">
        <v>294</v>
      </c>
      <c r="D408" s="65" t="s">
        <v>63</v>
      </c>
      <c r="E408" s="53">
        <v>25779</v>
      </c>
      <c r="F408" s="53">
        <v>12890</v>
      </c>
      <c r="G408" s="54">
        <f t="shared" si="28"/>
        <v>0.5000193956321036</v>
      </c>
      <c r="H408" s="62">
        <v>47689</v>
      </c>
      <c r="I408" s="63">
        <f t="shared" si="29"/>
        <v>18045.3</v>
      </c>
      <c r="J408" s="63">
        <f t="shared" si="30"/>
        <v>38151.200000000004</v>
      </c>
      <c r="K408" s="172">
        <f t="shared" si="31"/>
        <v>18045</v>
      </c>
      <c r="L408" s="156"/>
      <c r="M408" s="173"/>
      <c r="N408" s="173"/>
      <c r="O408" s="190"/>
      <c r="P408" s="13"/>
    </row>
    <row r="409" spans="1:16" ht="15.75">
      <c r="A409" s="13">
        <v>403</v>
      </c>
      <c r="B409" s="60">
        <v>580423069</v>
      </c>
      <c r="C409" s="61" t="s">
        <v>185</v>
      </c>
      <c r="D409" s="65" t="s">
        <v>63</v>
      </c>
      <c r="E409" s="53">
        <v>191801.25</v>
      </c>
      <c r="F409" s="53">
        <v>95901</v>
      </c>
      <c r="G409" s="54">
        <f t="shared" si="28"/>
        <v>0.5000019551488846</v>
      </c>
      <c r="H409" s="62">
        <v>184694</v>
      </c>
      <c r="I409" s="63">
        <f t="shared" si="29"/>
        <v>134260.875</v>
      </c>
      <c r="J409" s="63">
        <f t="shared" si="30"/>
        <v>147755.2</v>
      </c>
      <c r="K409" s="172">
        <f t="shared" si="31"/>
        <v>134261</v>
      </c>
      <c r="L409" s="156"/>
      <c r="M409" s="173"/>
      <c r="N409" s="173"/>
      <c r="O409" s="190"/>
      <c r="P409" s="13"/>
    </row>
    <row r="410" spans="1:16" ht="15.75">
      <c r="A410">
        <v>404</v>
      </c>
      <c r="B410" s="60">
        <v>580424638</v>
      </c>
      <c r="C410" s="61" t="s">
        <v>186</v>
      </c>
      <c r="D410" s="65" t="s">
        <v>63</v>
      </c>
      <c r="E410" s="53">
        <v>713388.5</v>
      </c>
      <c r="F410" s="53">
        <v>356694</v>
      </c>
      <c r="G410" s="54">
        <f t="shared" si="28"/>
        <v>0.4999996495598121</v>
      </c>
      <c r="H410" s="62">
        <v>679636</v>
      </c>
      <c r="I410" s="63">
        <f t="shared" si="29"/>
        <v>499371.94999999995</v>
      </c>
      <c r="J410" s="63">
        <f t="shared" si="30"/>
        <v>543708.8</v>
      </c>
      <c r="K410" s="172">
        <f t="shared" si="31"/>
        <v>499372</v>
      </c>
      <c r="L410" s="156"/>
      <c r="M410" s="173"/>
      <c r="N410" s="173"/>
      <c r="O410" s="190"/>
      <c r="P410" s="13"/>
    </row>
    <row r="411" spans="1:16" ht="15.75">
      <c r="A411" s="13">
        <v>405</v>
      </c>
      <c r="B411" s="60">
        <v>580428878</v>
      </c>
      <c r="C411" s="61" t="s">
        <v>187</v>
      </c>
      <c r="D411" s="65" t="s">
        <v>60</v>
      </c>
      <c r="E411" s="53">
        <v>59220.5</v>
      </c>
      <c r="F411" s="53">
        <v>29610</v>
      </c>
      <c r="G411" s="54">
        <f t="shared" si="28"/>
        <v>0.4999957784888679</v>
      </c>
      <c r="H411" s="62">
        <v>69129</v>
      </c>
      <c r="I411" s="63">
        <f t="shared" si="29"/>
        <v>41454.35</v>
      </c>
      <c r="J411" s="63">
        <f t="shared" si="30"/>
        <v>55303.200000000004</v>
      </c>
      <c r="K411" s="172">
        <f t="shared" si="31"/>
        <v>41454</v>
      </c>
      <c r="L411" s="156"/>
      <c r="M411" s="173"/>
      <c r="N411" s="173"/>
      <c r="O411" s="190"/>
      <c r="P411" s="13"/>
    </row>
    <row r="412" spans="1:16" ht="15.75">
      <c r="A412">
        <v>406</v>
      </c>
      <c r="B412" s="60">
        <v>580430072</v>
      </c>
      <c r="C412" s="61" t="s">
        <v>188</v>
      </c>
      <c r="D412" s="65" t="s">
        <v>63</v>
      </c>
      <c r="E412" s="53">
        <v>139124</v>
      </c>
      <c r="F412" s="53">
        <v>69562</v>
      </c>
      <c r="G412" s="54">
        <f t="shared" si="28"/>
        <v>0.5</v>
      </c>
      <c r="H412" s="62">
        <v>211178</v>
      </c>
      <c r="I412" s="63">
        <f t="shared" si="29"/>
        <v>97386.79999999999</v>
      </c>
      <c r="J412" s="63">
        <f t="shared" si="30"/>
        <v>168942.40000000002</v>
      </c>
      <c r="K412" s="172">
        <f t="shared" si="31"/>
        <v>97387</v>
      </c>
      <c r="L412" s="156"/>
      <c r="M412" s="173"/>
      <c r="N412" s="173"/>
      <c r="O412" s="190"/>
      <c r="P412" s="13"/>
    </row>
    <row r="413" spans="1:16" ht="15.75">
      <c r="A413" s="13">
        <v>407</v>
      </c>
      <c r="B413" s="61">
        <v>580430296</v>
      </c>
      <c r="C413" s="61" t="s">
        <v>189</v>
      </c>
      <c r="D413" s="61" t="s">
        <v>74</v>
      </c>
      <c r="E413" s="53">
        <v>316211.75</v>
      </c>
      <c r="F413" s="53">
        <v>158106</v>
      </c>
      <c r="G413" s="54">
        <f t="shared" si="28"/>
        <v>0.5000003953047285</v>
      </c>
      <c r="H413" s="62">
        <v>313879</v>
      </c>
      <c r="I413" s="63">
        <f t="shared" si="29"/>
        <v>221348.22499999998</v>
      </c>
      <c r="J413" s="63">
        <f t="shared" si="30"/>
        <v>251103.2</v>
      </c>
      <c r="K413" s="172">
        <f t="shared" si="31"/>
        <v>221348</v>
      </c>
      <c r="L413" s="156"/>
      <c r="M413" s="173"/>
      <c r="N413" s="173"/>
      <c r="O413" s="190"/>
      <c r="P413" s="13"/>
    </row>
    <row r="414" spans="1:16" ht="15.75">
      <c r="A414">
        <v>408</v>
      </c>
      <c r="B414" s="60">
        <v>580430643</v>
      </c>
      <c r="C414" s="61" t="s">
        <v>190</v>
      </c>
      <c r="D414" s="65" t="s">
        <v>63</v>
      </c>
      <c r="E414" s="53">
        <v>170086</v>
      </c>
      <c r="F414" s="53">
        <v>85043</v>
      </c>
      <c r="G414" s="54">
        <f t="shared" si="28"/>
        <v>0.5</v>
      </c>
      <c r="H414" s="62">
        <v>189353</v>
      </c>
      <c r="I414" s="63">
        <f t="shared" si="29"/>
        <v>119060.2</v>
      </c>
      <c r="J414" s="63">
        <f t="shared" si="30"/>
        <v>151482.4</v>
      </c>
      <c r="K414" s="172">
        <f t="shared" si="31"/>
        <v>119060</v>
      </c>
      <c r="L414" s="156"/>
      <c r="M414" s="173"/>
      <c r="N414" s="173"/>
      <c r="O414" s="190"/>
      <c r="P414" s="13"/>
    </row>
    <row r="415" spans="1:16" ht="15.75">
      <c r="A415" s="13">
        <v>409</v>
      </c>
      <c r="B415" s="60">
        <v>580431393</v>
      </c>
      <c r="C415" s="61" t="s">
        <v>453</v>
      </c>
      <c r="D415" s="65" t="s">
        <v>63</v>
      </c>
      <c r="E415" s="53">
        <v>267475.5</v>
      </c>
      <c r="F415" s="53">
        <v>133738</v>
      </c>
      <c r="G415" s="54">
        <f t="shared" si="28"/>
        <v>0.5000009346650441</v>
      </c>
      <c r="H415" s="62">
        <v>313027</v>
      </c>
      <c r="I415" s="63">
        <f t="shared" si="29"/>
        <v>187232.84999999998</v>
      </c>
      <c r="J415" s="63">
        <f t="shared" si="30"/>
        <v>250421.6</v>
      </c>
      <c r="K415" s="172">
        <f t="shared" si="31"/>
        <v>187233</v>
      </c>
      <c r="L415" s="156"/>
      <c r="M415" s="173"/>
      <c r="N415" s="173"/>
      <c r="O415" s="190"/>
      <c r="P415" s="13"/>
    </row>
    <row r="416" spans="1:16" ht="15.75">
      <c r="A416">
        <v>410</v>
      </c>
      <c r="B416" s="60">
        <v>580431559</v>
      </c>
      <c r="C416" s="60" t="s">
        <v>641</v>
      </c>
      <c r="D416" s="61" t="s">
        <v>60</v>
      </c>
      <c r="E416" s="53">
        <v>16689</v>
      </c>
      <c r="F416" s="53">
        <v>8345</v>
      </c>
      <c r="G416" s="54">
        <f t="shared" si="28"/>
        <v>0.500029959853796</v>
      </c>
      <c r="H416" s="62">
        <v>21427</v>
      </c>
      <c r="I416" s="63">
        <f t="shared" si="29"/>
        <v>11682.3</v>
      </c>
      <c r="J416" s="63">
        <f t="shared" si="30"/>
        <v>17141.600000000002</v>
      </c>
      <c r="K416" s="172">
        <f t="shared" si="31"/>
        <v>11682</v>
      </c>
      <c r="L416" s="156"/>
      <c r="M416" s="173"/>
      <c r="N416" s="173"/>
      <c r="O416" s="190"/>
      <c r="P416" s="13"/>
    </row>
    <row r="417" spans="1:16" ht="15.75">
      <c r="A417" s="13">
        <v>411</v>
      </c>
      <c r="B417" s="60">
        <v>580431898</v>
      </c>
      <c r="C417" s="61" t="s">
        <v>602</v>
      </c>
      <c r="D417" s="65" t="s">
        <v>63</v>
      </c>
      <c r="E417" s="53">
        <v>133906.75</v>
      </c>
      <c r="F417" s="53">
        <v>53563</v>
      </c>
      <c r="G417" s="54">
        <f t="shared" si="28"/>
        <v>0.4000022403650301</v>
      </c>
      <c r="H417" s="62">
        <v>159556</v>
      </c>
      <c r="I417" s="63">
        <f t="shared" si="29"/>
        <v>93734.72499999999</v>
      </c>
      <c r="J417" s="63">
        <f t="shared" si="30"/>
        <v>127644.8</v>
      </c>
      <c r="K417" s="172">
        <f t="shared" si="31"/>
        <v>93735</v>
      </c>
      <c r="L417" s="156"/>
      <c r="M417" s="173"/>
      <c r="N417" s="173"/>
      <c r="O417" s="190"/>
      <c r="P417" s="13"/>
    </row>
    <row r="418" spans="1:16" ht="15.75">
      <c r="A418">
        <v>412</v>
      </c>
      <c r="B418" s="101">
        <v>580431955</v>
      </c>
      <c r="C418" s="103" t="s">
        <v>669</v>
      </c>
      <c r="D418" s="104" t="s">
        <v>63</v>
      </c>
      <c r="E418" s="53">
        <v>110140.5</v>
      </c>
      <c r="F418" s="53">
        <v>55070</v>
      </c>
      <c r="G418" s="54">
        <f t="shared" si="28"/>
        <v>0.4999977301719168</v>
      </c>
      <c r="H418" s="62">
        <v>158509</v>
      </c>
      <c r="I418" s="63">
        <f t="shared" si="29"/>
        <v>77098.34999999999</v>
      </c>
      <c r="J418" s="63">
        <f t="shared" si="30"/>
        <v>126807.20000000001</v>
      </c>
      <c r="K418" s="172">
        <f t="shared" si="31"/>
        <v>77098</v>
      </c>
      <c r="L418" s="156"/>
      <c r="M418" s="173"/>
      <c r="N418" s="173"/>
      <c r="O418" s="190"/>
      <c r="P418" s="13"/>
    </row>
    <row r="419" spans="1:16" ht="15">
      <c r="A419" s="13">
        <v>413</v>
      </c>
      <c r="B419" s="66">
        <v>580432169</v>
      </c>
      <c r="C419" s="16" t="s">
        <v>454</v>
      </c>
      <c r="D419" s="16" t="s">
        <v>72</v>
      </c>
      <c r="E419" s="53">
        <v>121728</v>
      </c>
      <c r="F419" s="53">
        <v>60864</v>
      </c>
      <c r="G419" s="54">
        <f t="shared" si="28"/>
        <v>0.5</v>
      </c>
      <c r="H419" s="62">
        <v>97954</v>
      </c>
      <c r="I419" s="63">
        <f t="shared" si="29"/>
        <v>85209.59999999999</v>
      </c>
      <c r="J419" s="63">
        <f t="shared" si="30"/>
        <v>78363.2</v>
      </c>
      <c r="K419" s="172">
        <f t="shared" si="31"/>
        <v>78363</v>
      </c>
      <c r="L419" s="156"/>
      <c r="M419" s="173"/>
      <c r="N419" s="173"/>
      <c r="O419" s="190"/>
      <c r="P419" s="13"/>
    </row>
    <row r="420" spans="1:16" ht="15.75">
      <c r="A420">
        <v>414</v>
      </c>
      <c r="B420" s="60">
        <v>580432755</v>
      </c>
      <c r="C420" s="61" t="s">
        <v>455</v>
      </c>
      <c r="D420" s="65" t="s">
        <v>63</v>
      </c>
      <c r="E420" s="53">
        <v>169557</v>
      </c>
      <c r="F420" s="53">
        <v>84779</v>
      </c>
      <c r="G420" s="54">
        <f t="shared" si="28"/>
        <v>0.5000029488608551</v>
      </c>
      <c r="H420" s="62">
        <v>200929</v>
      </c>
      <c r="I420" s="63">
        <f t="shared" si="29"/>
        <v>118689.9</v>
      </c>
      <c r="J420" s="63">
        <f t="shared" si="30"/>
        <v>160743.2</v>
      </c>
      <c r="K420" s="172">
        <f t="shared" si="31"/>
        <v>118690</v>
      </c>
      <c r="L420" s="156"/>
      <c r="M420" s="173"/>
      <c r="N420" s="173"/>
      <c r="O420" s="190"/>
      <c r="P420" s="13"/>
    </row>
    <row r="421" spans="1:16" ht="15.75">
      <c r="A421" s="13">
        <v>415</v>
      </c>
      <c r="B421" s="60">
        <v>580433134</v>
      </c>
      <c r="C421" s="61" t="s">
        <v>570</v>
      </c>
      <c r="D421" s="65" t="s">
        <v>63</v>
      </c>
      <c r="E421" s="53">
        <v>46845</v>
      </c>
      <c r="F421" s="53">
        <v>23423</v>
      </c>
      <c r="G421" s="54">
        <f t="shared" si="28"/>
        <v>0.5000106734977052</v>
      </c>
      <c r="H421" s="62">
        <v>79254</v>
      </c>
      <c r="I421" s="63">
        <f t="shared" si="29"/>
        <v>32791.5</v>
      </c>
      <c r="J421" s="63">
        <f t="shared" si="30"/>
        <v>63403.200000000004</v>
      </c>
      <c r="K421" s="172">
        <f t="shared" si="31"/>
        <v>32792</v>
      </c>
      <c r="L421" s="156"/>
      <c r="M421" s="173"/>
      <c r="N421" s="173"/>
      <c r="O421" s="190"/>
      <c r="P421" s="13"/>
    </row>
    <row r="422" spans="1:16" ht="15.75">
      <c r="A422">
        <v>416</v>
      </c>
      <c r="B422" s="85">
        <v>580433316</v>
      </c>
      <c r="C422" s="61" t="s">
        <v>385</v>
      </c>
      <c r="D422" s="61" t="s">
        <v>60</v>
      </c>
      <c r="E422" s="53">
        <v>473583.25</v>
      </c>
      <c r="F422" s="53">
        <v>236792</v>
      </c>
      <c r="G422" s="54">
        <f t="shared" si="28"/>
        <v>0.5000007918354376</v>
      </c>
      <c r="H422" s="62">
        <v>604397</v>
      </c>
      <c r="I422" s="63">
        <f t="shared" si="29"/>
        <v>331508.27499999997</v>
      </c>
      <c r="J422" s="63">
        <f t="shared" si="30"/>
        <v>483517.60000000003</v>
      </c>
      <c r="K422" s="172">
        <f t="shared" si="31"/>
        <v>331508</v>
      </c>
      <c r="L422" s="156"/>
      <c r="M422" s="173"/>
      <c r="N422" s="173"/>
      <c r="O422" s="190"/>
      <c r="P422" s="13"/>
    </row>
    <row r="423" spans="1:16" ht="15.75">
      <c r="A423" s="13">
        <v>417</v>
      </c>
      <c r="B423" s="95">
        <v>580433449</v>
      </c>
      <c r="C423" s="96" t="s">
        <v>527</v>
      </c>
      <c r="D423" s="97" t="s">
        <v>63</v>
      </c>
      <c r="E423" s="98">
        <v>55573.600000000006</v>
      </c>
      <c r="F423" s="98">
        <v>27787</v>
      </c>
      <c r="G423" s="54">
        <f t="shared" si="28"/>
        <v>0.5000035988310996</v>
      </c>
      <c r="H423" s="77">
        <v>60226</v>
      </c>
      <c r="I423" s="63">
        <f t="shared" si="29"/>
        <v>38901.520000000004</v>
      </c>
      <c r="J423" s="63">
        <f t="shared" si="30"/>
        <v>48180.8</v>
      </c>
      <c r="K423" s="172">
        <f t="shared" si="31"/>
        <v>38902</v>
      </c>
      <c r="L423" s="156"/>
      <c r="M423" s="173"/>
      <c r="N423" s="173"/>
      <c r="O423" s="190"/>
      <c r="P423" s="13"/>
    </row>
    <row r="424" spans="1:16" ht="15.75">
      <c r="A424">
        <v>418</v>
      </c>
      <c r="B424" s="60">
        <v>580433589</v>
      </c>
      <c r="C424" s="60" t="s">
        <v>642</v>
      </c>
      <c r="D424" s="61" t="s">
        <v>60</v>
      </c>
      <c r="E424" s="53">
        <v>55884</v>
      </c>
      <c r="F424" s="53">
        <v>22354</v>
      </c>
      <c r="G424" s="54">
        <f t="shared" si="28"/>
        <v>0.40000715768377354</v>
      </c>
      <c r="H424" s="62">
        <v>166257</v>
      </c>
      <c r="I424" s="63">
        <f t="shared" si="29"/>
        <v>39118.799999999996</v>
      </c>
      <c r="J424" s="63">
        <f t="shared" si="30"/>
        <v>133005.6</v>
      </c>
      <c r="K424" s="172">
        <f t="shared" si="31"/>
        <v>39119</v>
      </c>
      <c r="L424" s="156"/>
      <c r="M424" s="173"/>
      <c r="N424" s="173"/>
      <c r="O424" s="190"/>
      <c r="P424" s="13"/>
    </row>
    <row r="425" spans="1:16" ht="15.75">
      <c r="A425" s="13">
        <v>419</v>
      </c>
      <c r="B425" s="60">
        <v>580435014</v>
      </c>
      <c r="C425" s="61" t="s">
        <v>386</v>
      </c>
      <c r="D425" s="61" t="s">
        <v>60</v>
      </c>
      <c r="E425" s="53">
        <v>195666.75</v>
      </c>
      <c r="F425" s="53">
        <v>97833</v>
      </c>
      <c r="G425" s="54">
        <f t="shared" si="28"/>
        <v>0.49999808347611435</v>
      </c>
      <c r="H425" s="62">
        <v>193429</v>
      </c>
      <c r="I425" s="63">
        <f t="shared" si="29"/>
        <v>136966.725</v>
      </c>
      <c r="J425" s="63">
        <f t="shared" si="30"/>
        <v>154743.2</v>
      </c>
      <c r="K425" s="172">
        <f t="shared" si="31"/>
        <v>136967</v>
      </c>
      <c r="L425" s="156"/>
      <c r="M425" s="173"/>
      <c r="N425" s="173"/>
      <c r="O425" s="190"/>
      <c r="P425" s="13"/>
    </row>
    <row r="426" spans="1:16" ht="15.75">
      <c r="A426">
        <v>420</v>
      </c>
      <c r="B426" s="60">
        <v>580435105</v>
      </c>
      <c r="C426" s="60" t="s">
        <v>643</v>
      </c>
      <c r="D426" s="61" t="s">
        <v>60</v>
      </c>
      <c r="E426" s="53">
        <v>143194</v>
      </c>
      <c r="F426" s="53">
        <v>71597</v>
      </c>
      <c r="G426" s="54">
        <f t="shared" si="28"/>
        <v>0.5</v>
      </c>
      <c r="H426" s="62">
        <v>215942</v>
      </c>
      <c r="I426" s="63">
        <f t="shared" si="29"/>
        <v>100235.79999999999</v>
      </c>
      <c r="J426" s="63">
        <f t="shared" si="30"/>
        <v>172753.6</v>
      </c>
      <c r="K426" s="172">
        <f t="shared" si="31"/>
        <v>100236</v>
      </c>
      <c r="L426" s="156"/>
      <c r="M426" s="173"/>
      <c r="N426" s="173"/>
      <c r="O426" s="190"/>
      <c r="P426" s="13"/>
    </row>
    <row r="427" spans="1:16" ht="15.75">
      <c r="A427" s="13">
        <v>421</v>
      </c>
      <c r="B427" s="60">
        <v>580436061</v>
      </c>
      <c r="C427" s="61" t="s">
        <v>603</v>
      </c>
      <c r="D427" s="61" t="s">
        <v>60</v>
      </c>
      <c r="E427" s="53">
        <v>35327</v>
      </c>
      <c r="F427" s="53">
        <v>17664</v>
      </c>
      <c r="G427" s="54">
        <f t="shared" si="28"/>
        <v>0.5000141534803408</v>
      </c>
      <c r="H427" s="62">
        <v>39098</v>
      </c>
      <c r="I427" s="63">
        <f t="shared" si="29"/>
        <v>24728.899999999998</v>
      </c>
      <c r="J427" s="63">
        <f t="shared" si="30"/>
        <v>31278.4</v>
      </c>
      <c r="K427" s="172">
        <f t="shared" si="31"/>
        <v>24729</v>
      </c>
      <c r="L427" s="156"/>
      <c r="M427" s="173"/>
      <c r="N427" s="173"/>
      <c r="O427" s="190"/>
      <c r="P427" s="13"/>
    </row>
    <row r="428" spans="1:16" ht="15.75">
      <c r="A428">
        <v>422</v>
      </c>
      <c r="B428" s="60">
        <v>580438422</v>
      </c>
      <c r="C428" s="61" t="s">
        <v>528</v>
      </c>
      <c r="D428" s="61" t="s">
        <v>60</v>
      </c>
      <c r="E428" s="53">
        <v>139156</v>
      </c>
      <c r="F428" s="53">
        <v>69578</v>
      </c>
      <c r="G428" s="54">
        <f t="shared" si="28"/>
        <v>0.5</v>
      </c>
      <c r="H428" s="62">
        <v>163921</v>
      </c>
      <c r="I428" s="63">
        <f t="shared" si="29"/>
        <v>97409.2</v>
      </c>
      <c r="J428" s="63">
        <f t="shared" si="30"/>
        <v>131136.80000000002</v>
      </c>
      <c r="K428" s="172">
        <f t="shared" si="31"/>
        <v>97409</v>
      </c>
      <c r="L428" s="156"/>
      <c r="M428" s="173"/>
      <c r="N428" s="173"/>
      <c r="O428" s="190"/>
      <c r="P428" s="13"/>
    </row>
    <row r="429" spans="1:16" ht="15.75">
      <c r="A429" s="13">
        <v>423</v>
      </c>
      <c r="B429" s="83">
        <v>580438448</v>
      </c>
      <c r="C429" s="84" t="s">
        <v>191</v>
      </c>
      <c r="D429" s="84" t="s">
        <v>60</v>
      </c>
      <c r="E429" s="53">
        <v>146371.5</v>
      </c>
      <c r="F429" s="53">
        <v>73186</v>
      </c>
      <c r="G429" s="54">
        <f t="shared" si="28"/>
        <v>0.5000017079827699</v>
      </c>
      <c r="H429" s="62">
        <v>130500</v>
      </c>
      <c r="I429" s="63">
        <f t="shared" si="29"/>
        <v>102460.04999999999</v>
      </c>
      <c r="J429" s="63">
        <f t="shared" si="30"/>
        <v>104400</v>
      </c>
      <c r="K429" s="172">
        <f t="shared" si="31"/>
        <v>102460</v>
      </c>
      <c r="L429" s="156"/>
      <c r="M429" s="173"/>
      <c r="N429" s="173"/>
      <c r="O429" s="190"/>
      <c r="P429" s="13"/>
    </row>
    <row r="430" spans="1:16" ht="15.75">
      <c r="A430">
        <v>424</v>
      </c>
      <c r="B430" s="60">
        <v>580438745</v>
      </c>
      <c r="C430" s="61" t="s">
        <v>529</v>
      </c>
      <c r="D430" s="61" t="s">
        <v>60</v>
      </c>
      <c r="E430" s="53">
        <f>282840.25+295226</f>
        <v>578066.25</v>
      </c>
      <c r="F430" s="53">
        <f>141420+118091</f>
        <v>259511</v>
      </c>
      <c r="G430" s="54">
        <f t="shared" si="28"/>
        <v>0.4489295128369802</v>
      </c>
      <c r="H430" s="62">
        <f>207039+238260</f>
        <v>445299</v>
      </c>
      <c r="I430" s="63">
        <f t="shared" si="29"/>
        <v>404646.375</v>
      </c>
      <c r="J430" s="63">
        <f t="shared" si="30"/>
        <v>356239.2</v>
      </c>
      <c r="K430" s="172">
        <f t="shared" si="31"/>
        <v>356239</v>
      </c>
      <c r="L430" s="156"/>
      <c r="M430" s="173"/>
      <c r="N430" s="173"/>
      <c r="O430" s="190"/>
      <c r="P430" s="13"/>
    </row>
    <row r="431" spans="1:16" ht="15.75">
      <c r="A431" s="13">
        <v>425</v>
      </c>
      <c r="B431" s="60">
        <v>580438935</v>
      </c>
      <c r="C431" s="61" t="s">
        <v>530</v>
      </c>
      <c r="D431" s="65" t="s">
        <v>63</v>
      </c>
      <c r="E431" s="53">
        <v>457754.5</v>
      </c>
      <c r="F431" s="53">
        <v>228877</v>
      </c>
      <c r="G431" s="54">
        <f t="shared" si="28"/>
        <v>0.499999453855724</v>
      </c>
      <c r="H431" s="62">
        <v>451668</v>
      </c>
      <c r="I431" s="63">
        <f t="shared" si="29"/>
        <v>320428.14999999997</v>
      </c>
      <c r="J431" s="63">
        <f t="shared" si="30"/>
        <v>361334.4</v>
      </c>
      <c r="K431" s="172">
        <f t="shared" si="31"/>
        <v>320428</v>
      </c>
      <c r="L431" s="156"/>
      <c r="M431" s="173"/>
      <c r="N431" s="173"/>
      <c r="O431" s="190"/>
      <c r="P431" s="13"/>
    </row>
    <row r="432" spans="1:16" ht="15.75">
      <c r="A432">
        <v>426</v>
      </c>
      <c r="B432" s="60">
        <v>580438935</v>
      </c>
      <c r="C432" s="61" t="s">
        <v>531</v>
      </c>
      <c r="D432" s="61" t="s">
        <v>60</v>
      </c>
      <c r="E432" s="53">
        <f>101034+193530</f>
        <v>294564</v>
      </c>
      <c r="F432" s="53">
        <f>50517+96765</f>
        <v>147282</v>
      </c>
      <c r="G432" s="54">
        <f t="shared" si="28"/>
        <v>0.5</v>
      </c>
      <c r="H432" s="62">
        <f>451668+276337</f>
        <v>728005</v>
      </c>
      <c r="I432" s="63">
        <f t="shared" si="29"/>
        <v>206194.8</v>
      </c>
      <c r="J432" s="63">
        <f t="shared" si="30"/>
        <v>582404</v>
      </c>
      <c r="K432" s="172">
        <f t="shared" si="31"/>
        <v>206195</v>
      </c>
      <c r="L432" s="156"/>
      <c r="M432" s="173"/>
      <c r="N432" s="173"/>
      <c r="O432" s="190"/>
      <c r="P432" s="13"/>
    </row>
    <row r="433" spans="1:16" ht="15.75">
      <c r="A433" s="13">
        <v>427</v>
      </c>
      <c r="B433" s="86">
        <v>580439354</v>
      </c>
      <c r="C433" s="67" t="s">
        <v>456</v>
      </c>
      <c r="D433" s="67" t="s">
        <v>60</v>
      </c>
      <c r="E433" s="53">
        <v>55634</v>
      </c>
      <c r="F433" s="53">
        <v>24692</v>
      </c>
      <c r="G433" s="54">
        <f t="shared" si="28"/>
        <v>0.4438293130100298</v>
      </c>
      <c r="H433" s="62">
        <v>70155</v>
      </c>
      <c r="I433" s="63">
        <f t="shared" si="29"/>
        <v>38943.799999999996</v>
      </c>
      <c r="J433" s="63">
        <f t="shared" si="30"/>
        <v>56124</v>
      </c>
      <c r="K433" s="172">
        <f t="shared" si="31"/>
        <v>38944</v>
      </c>
      <c r="L433" s="156"/>
      <c r="M433" s="173"/>
      <c r="N433" s="173"/>
      <c r="O433" s="190"/>
      <c r="P433" s="13"/>
    </row>
    <row r="434" spans="1:16" ht="15.75">
      <c r="A434">
        <v>428</v>
      </c>
      <c r="B434" s="60">
        <v>580439412</v>
      </c>
      <c r="C434" s="61" t="s">
        <v>703</v>
      </c>
      <c r="D434" s="61" t="s">
        <v>60</v>
      </c>
      <c r="E434" s="53">
        <v>125223</v>
      </c>
      <c r="F434" s="53">
        <v>62612</v>
      </c>
      <c r="G434" s="54">
        <f t="shared" si="28"/>
        <v>0.5000039928767079</v>
      </c>
      <c r="H434" s="62">
        <v>180156</v>
      </c>
      <c r="I434" s="63">
        <f t="shared" si="29"/>
        <v>87656.09999999999</v>
      </c>
      <c r="J434" s="63">
        <f t="shared" si="30"/>
        <v>144124.80000000002</v>
      </c>
      <c r="K434" s="172">
        <f t="shared" si="31"/>
        <v>87656</v>
      </c>
      <c r="L434" s="156"/>
      <c r="M434" s="173"/>
      <c r="N434" s="173"/>
      <c r="O434" s="190"/>
      <c r="P434" s="13"/>
    </row>
    <row r="435" spans="1:16" ht="15.75">
      <c r="A435" s="13">
        <v>429</v>
      </c>
      <c r="B435" s="61">
        <v>580439453</v>
      </c>
      <c r="C435" s="61" t="s">
        <v>387</v>
      </c>
      <c r="D435" s="61" t="s">
        <v>68</v>
      </c>
      <c r="E435" s="53">
        <f>265163+268388</f>
        <v>533551</v>
      </c>
      <c r="F435" s="53">
        <f>132582+107355</f>
        <v>239937</v>
      </c>
      <c r="G435" s="54">
        <f t="shared" si="28"/>
        <v>0.44969834186422664</v>
      </c>
      <c r="H435" s="62">
        <f>157112+261601</f>
        <v>418713</v>
      </c>
      <c r="I435" s="63">
        <f t="shared" si="29"/>
        <v>373485.69999999995</v>
      </c>
      <c r="J435" s="63">
        <f t="shared" si="30"/>
        <v>334970.4</v>
      </c>
      <c r="K435" s="172">
        <f t="shared" si="31"/>
        <v>334970</v>
      </c>
      <c r="L435" s="156"/>
      <c r="M435" s="173"/>
      <c r="N435" s="173"/>
      <c r="O435" s="190"/>
      <c r="P435" s="13"/>
    </row>
    <row r="436" spans="1:16" ht="15.75">
      <c r="A436">
        <v>430</v>
      </c>
      <c r="B436" s="60">
        <v>580439826</v>
      </c>
      <c r="C436" s="61" t="s">
        <v>457</v>
      </c>
      <c r="D436" s="61" t="s">
        <v>60</v>
      </c>
      <c r="E436" s="53">
        <v>12637.5</v>
      </c>
      <c r="F436" s="53">
        <v>6319</v>
      </c>
      <c r="G436" s="54">
        <f t="shared" si="28"/>
        <v>0.5000197823936696</v>
      </c>
      <c r="H436" s="62">
        <v>10847</v>
      </c>
      <c r="I436" s="63">
        <f t="shared" si="29"/>
        <v>8846.25</v>
      </c>
      <c r="J436" s="63">
        <f t="shared" si="30"/>
        <v>8677.6</v>
      </c>
      <c r="K436" s="172">
        <f t="shared" si="31"/>
        <v>8678</v>
      </c>
      <c r="L436" s="156"/>
      <c r="M436" s="173"/>
      <c r="N436" s="173"/>
      <c r="O436" s="190"/>
      <c r="P436" s="13"/>
    </row>
    <row r="437" spans="1:16" ht="15.75">
      <c r="A437" s="13">
        <v>431</v>
      </c>
      <c r="B437" s="60">
        <v>580439917</v>
      </c>
      <c r="C437" s="61" t="s">
        <v>532</v>
      </c>
      <c r="D437" s="61" t="s">
        <v>60</v>
      </c>
      <c r="E437" s="53">
        <v>95311</v>
      </c>
      <c r="F437" s="53">
        <v>47656</v>
      </c>
      <c r="G437" s="54">
        <f t="shared" si="28"/>
        <v>0.500005245984199</v>
      </c>
      <c r="H437" s="62">
        <v>81349</v>
      </c>
      <c r="I437" s="63">
        <f t="shared" si="29"/>
        <v>66717.7</v>
      </c>
      <c r="J437" s="63">
        <f t="shared" si="30"/>
        <v>65079.200000000004</v>
      </c>
      <c r="K437" s="172">
        <f t="shared" si="31"/>
        <v>65079</v>
      </c>
      <c r="L437" s="156"/>
      <c r="M437" s="173"/>
      <c r="N437" s="173"/>
      <c r="O437" s="190"/>
      <c r="P437" s="13"/>
    </row>
    <row r="438" spans="1:16" ht="15.75">
      <c r="A438">
        <v>432</v>
      </c>
      <c r="B438" s="60">
        <v>580441921</v>
      </c>
      <c r="C438" s="61" t="s">
        <v>218</v>
      </c>
      <c r="D438" s="61" t="s">
        <v>60</v>
      </c>
      <c r="E438" s="53">
        <v>99745</v>
      </c>
      <c r="F438" s="53">
        <v>49873</v>
      </c>
      <c r="G438" s="54">
        <f t="shared" si="28"/>
        <v>0.5000050127825956</v>
      </c>
      <c r="H438" s="62">
        <v>62806</v>
      </c>
      <c r="I438" s="63">
        <f t="shared" si="29"/>
        <v>69821.5</v>
      </c>
      <c r="J438" s="63">
        <f t="shared" si="30"/>
        <v>50244.8</v>
      </c>
      <c r="K438" s="172">
        <f t="shared" si="31"/>
        <v>50245</v>
      </c>
      <c r="L438" s="156"/>
      <c r="M438" s="173"/>
      <c r="N438" s="173"/>
      <c r="O438" s="190"/>
      <c r="P438" s="13"/>
    </row>
    <row r="439" spans="1:16" ht="15.75">
      <c r="A439" s="13">
        <v>433</v>
      </c>
      <c r="B439" s="61">
        <v>580442077</v>
      </c>
      <c r="C439" s="61" t="s">
        <v>192</v>
      </c>
      <c r="D439" s="68" t="s">
        <v>94</v>
      </c>
      <c r="E439" s="53">
        <v>68414.6</v>
      </c>
      <c r="F439" s="53">
        <v>34207</v>
      </c>
      <c r="G439" s="54">
        <f t="shared" si="28"/>
        <v>0.49999561497107337</v>
      </c>
      <c r="H439" s="62">
        <v>79678</v>
      </c>
      <c r="I439" s="63">
        <f t="shared" si="29"/>
        <v>47890.22</v>
      </c>
      <c r="J439" s="63">
        <f t="shared" si="30"/>
        <v>63742.4</v>
      </c>
      <c r="K439" s="172">
        <f t="shared" si="31"/>
        <v>47890</v>
      </c>
      <c r="L439" s="156"/>
      <c r="M439" s="173"/>
      <c r="N439" s="173"/>
      <c r="O439" s="190"/>
      <c r="P439" s="13"/>
    </row>
    <row r="440" spans="1:16" ht="15.75">
      <c r="A440">
        <v>434</v>
      </c>
      <c r="B440" s="60">
        <v>580442085</v>
      </c>
      <c r="C440" s="61" t="s">
        <v>193</v>
      </c>
      <c r="D440" s="65" t="s">
        <v>63</v>
      </c>
      <c r="E440" s="53">
        <v>93832</v>
      </c>
      <c r="F440" s="53">
        <v>46916</v>
      </c>
      <c r="G440" s="54">
        <f t="shared" si="28"/>
        <v>0.5</v>
      </c>
      <c r="H440" s="62">
        <v>77027</v>
      </c>
      <c r="I440" s="63">
        <f t="shared" si="29"/>
        <v>65682.4</v>
      </c>
      <c r="J440" s="63">
        <f t="shared" si="30"/>
        <v>61621.600000000006</v>
      </c>
      <c r="K440" s="172">
        <f t="shared" si="31"/>
        <v>61622</v>
      </c>
      <c r="L440" s="156"/>
      <c r="M440" s="173"/>
      <c r="N440" s="173"/>
      <c r="O440" s="190"/>
      <c r="P440" s="13"/>
    </row>
    <row r="441" spans="1:16" ht="15.75">
      <c r="A441" s="13">
        <v>435</v>
      </c>
      <c r="B441" s="60">
        <v>580442549</v>
      </c>
      <c r="C441" s="61" t="s">
        <v>194</v>
      </c>
      <c r="D441" s="65" t="s">
        <v>63</v>
      </c>
      <c r="E441" s="53">
        <v>106065.5</v>
      </c>
      <c r="F441" s="53">
        <v>53033</v>
      </c>
      <c r="G441" s="54">
        <f t="shared" si="28"/>
        <v>0.5000023570340969</v>
      </c>
      <c r="H441" s="62">
        <v>144543</v>
      </c>
      <c r="I441" s="63">
        <f t="shared" si="29"/>
        <v>74245.84999999999</v>
      </c>
      <c r="J441" s="63">
        <f t="shared" si="30"/>
        <v>115634.40000000001</v>
      </c>
      <c r="K441" s="172">
        <f t="shared" si="31"/>
        <v>74246</v>
      </c>
      <c r="L441" s="156"/>
      <c r="M441" s="173"/>
      <c r="N441" s="173"/>
      <c r="O441" s="190"/>
      <c r="P441" s="13"/>
    </row>
    <row r="442" spans="1:16" ht="15.75">
      <c r="A442">
        <v>436</v>
      </c>
      <c r="B442" s="85">
        <v>580442887</v>
      </c>
      <c r="C442" s="61" t="s">
        <v>195</v>
      </c>
      <c r="D442" s="65" t="s">
        <v>63</v>
      </c>
      <c r="E442" s="53">
        <v>127278.25</v>
      </c>
      <c r="F442" s="53">
        <v>63639</v>
      </c>
      <c r="G442" s="54">
        <f t="shared" si="28"/>
        <v>0.499999017899759</v>
      </c>
      <c r="H442" s="62">
        <v>169681</v>
      </c>
      <c r="I442" s="63">
        <f t="shared" si="29"/>
        <v>89094.775</v>
      </c>
      <c r="J442" s="63">
        <f t="shared" si="30"/>
        <v>135744.80000000002</v>
      </c>
      <c r="K442" s="172">
        <f t="shared" si="31"/>
        <v>89095</v>
      </c>
      <c r="L442" s="156"/>
      <c r="M442" s="173"/>
      <c r="N442" s="173"/>
      <c r="O442" s="190"/>
      <c r="P442" s="13"/>
    </row>
    <row r="443" spans="1:16" ht="15.75">
      <c r="A443" s="13">
        <v>437</v>
      </c>
      <c r="B443" s="60">
        <v>580444313</v>
      </c>
      <c r="C443" s="153" t="s">
        <v>727</v>
      </c>
      <c r="D443" s="16" t="s">
        <v>60</v>
      </c>
      <c r="E443" s="53">
        <v>11417</v>
      </c>
      <c r="F443" s="53">
        <v>4567</v>
      </c>
      <c r="G443" s="54">
        <f t="shared" si="28"/>
        <v>0.4000175177367084</v>
      </c>
      <c r="H443" s="62">
        <v>14895</v>
      </c>
      <c r="I443" s="63">
        <f t="shared" si="29"/>
        <v>7991.9</v>
      </c>
      <c r="J443" s="63">
        <f t="shared" si="30"/>
        <v>11916</v>
      </c>
      <c r="K443" s="172">
        <f t="shared" si="31"/>
        <v>7992</v>
      </c>
      <c r="L443" s="156"/>
      <c r="M443" s="173"/>
      <c r="N443" s="173"/>
      <c r="O443" s="190"/>
      <c r="P443" s="13"/>
    </row>
    <row r="444" spans="1:16" ht="15.75">
      <c r="A444">
        <v>438</v>
      </c>
      <c r="B444" s="60">
        <v>580444750</v>
      </c>
      <c r="C444" s="61" t="s">
        <v>295</v>
      </c>
      <c r="D444" s="65" t="s">
        <v>63</v>
      </c>
      <c r="E444" s="53">
        <v>326297.75</v>
      </c>
      <c r="F444" s="53">
        <v>163149</v>
      </c>
      <c r="G444" s="54">
        <f t="shared" si="28"/>
        <v>0.500000383085694</v>
      </c>
      <c r="H444" s="62">
        <v>360486</v>
      </c>
      <c r="I444" s="63">
        <f t="shared" si="29"/>
        <v>228408.425</v>
      </c>
      <c r="J444" s="63">
        <f t="shared" si="30"/>
        <v>288388.8</v>
      </c>
      <c r="K444" s="172">
        <f t="shared" si="31"/>
        <v>228408</v>
      </c>
      <c r="L444" s="156"/>
      <c r="M444" s="173"/>
      <c r="N444" s="173"/>
      <c r="O444" s="190"/>
      <c r="P444" s="13"/>
    </row>
    <row r="445" spans="1:16" ht="15">
      <c r="A445" s="13">
        <v>439</v>
      </c>
      <c r="B445" s="89">
        <v>580444958</v>
      </c>
      <c r="C445" s="90" t="s">
        <v>388</v>
      </c>
      <c r="D445" s="90" t="s">
        <v>72</v>
      </c>
      <c r="E445" s="53">
        <v>350898.5</v>
      </c>
      <c r="F445" s="53">
        <v>175449</v>
      </c>
      <c r="G445" s="54">
        <f t="shared" si="28"/>
        <v>0.49999928754326395</v>
      </c>
      <c r="H445" s="62">
        <v>171666</v>
      </c>
      <c r="I445" s="63">
        <f t="shared" si="29"/>
        <v>245628.94999999998</v>
      </c>
      <c r="J445" s="63">
        <f t="shared" si="30"/>
        <v>137332.80000000002</v>
      </c>
      <c r="K445" s="172">
        <f t="shared" si="31"/>
        <v>0</v>
      </c>
      <c r="L445" s="156"/>
      <c r="M445" s="173"/>
      <c r="N445" s="173"/>
      <c r="O445" s="190"/>
      <c r="P445" s="13"/>
    </row>
    <row r="446" spans="1:16" ht="15">
      <c r="A446">
        <v>440</v>
      </c>
      <c r="B446" s="79">
        <v>580445229</v>
      </c>
      <c r="C446" s="16" t="s">
        <v>196</v>
      </c>
      <c r="D446" s="16" t="s">
        <v>72</v>
      </c>
      <c r="E446" s="53">
        <v>46752.75</v>
      </c>
      <c r="F446" s="53">
        <v>23376</v>
      </c>
      <c r="G446" s="54">
        <f t="shared" si="28"/>
        <v>0.4999919790814444</v>
      </c>
      <c r="H446" s="62">
        <v>47308</v>
      </c>
      <c r="I446" s="63">
        <f t="shared" si="29"/>
        <v>32726.925</v>
      </c>
      <c r="J446" s="63">
        <f t="shared" si="30"/>
        <v>37846.4</v>
      </c>
      <c r="K446" s="172">
        <f t="shared" si="31"/>
        <v>32727</v>
      </c>
      <c r="L446" s="156"/>
      <c r="M446" s="173"/>
      <c r="N446" s="173"/>
      <c r="O446" s="190"/>
      <c r="P446" s="13"/>
    </row>
    <row r="447" spans="1:16" ht="15.75">
      <c r="A447" s="13">
        <v>441</v>
      </c>
      <c r="B447" s="60">
        <v>580445989</v>
      </c>
      <c r="C447" s="61" t="s">
        <v>533</v>
      </c>
      <c r="D447" s="65" t="s">
        <v>63</v>
      </c>
      <c r="E447" s="53">
        <v>179180</v>
      </c>
      <c r="F447" s="53">
        <v>89590</v>
      </c>
      <c r="G447" s="54">
        <f t="shared" si="28"/>
        <v>0.5</v>
      </c>
      <c r="H447" s="62">
        <v>236946</v>
      </c>
      <c r="I447" s="63">
        <f t="shared" si="29"/>
        <v>125425.99999999999</v>
      </c>
      <c r="J447" s="63">
        <f t="shared" si="30"/>
        <v>189556.80000000002</v>
      </c>
      <c r="K447" s="172">
        <f t="shared" si="31"/>
        <v>125426</v>
      </c>
      <c r="L447" s="156"/>
      <c r="M447" s="173"/>
      <c r="N447" s="173"/>
      <c r="O447" s="190"/>
      <c r="P447" s="13"/>
    </row>
    <row r="448" spans="1:16" ht="15.75">
      <c r="A448">
        <v>442</v>
      </c>
      <c r="B448" s="61">
        <v>580446151</v>
      </c>
      <c r="C448" s="61" t="s">
        <v>704</v>
      </c>
      <c r="D448" s="61" t="s">
        <v>74</v>
      </c>
      <c r="E448" s="53">
        <v>13688</v>
      </c>
      <c r="F448" s="53">
        <v>5475</v>
      </c>
      <c r="G448" s="54">
        <f t="shared" si="28"/>
        <v>0.3999853886616014</v>
      </c>
      <c r="H448" s="62">
        <v>11090</v>
      </c>
      <c r="I448" s="63">
        <f t="shared" si="29"/>
        <v>9581.599999999999</v>
      </c>
      <c r="J448" s="63">
        <f t="shared" si="30"/>
        <v>8872</v>
      </c>
      <c r="K448" s="172">
        <f t="shared" si="31"/>
        <v>8872</v>
      </c>
      <c r="L448" s="156"/>
      <c r="M448" s="173"/>
      <c r="N448" s="173"/>
      <c r="O448" s="190"/>
      <c r="P448" s="13"/>
    </row>
    <row r="449" spans="1:16" ht="15.75">
      <c r="A449" s="13">
        <v>443</v>
      </c>
      <c r="B449" s="60">
        <v>580446490</v>
      </c>
      <c r="C449" s="60" t="s">
        <v>644</v>
      </c>
      <c r="D449" s="61" t="s">
        <v>60</v>
      </c>
      <c r="E449" s="53">
        <v>26811</v>
      </c>
      <c r="F449" s="53">
        <v>13406</v>
      </c>
      <c r="G449" s="54">
        <f aca="true" t="shared" si="32" ref="G449:G512">F449/E449</f>
        <v>0.5000186490619521</v>
      </c>
      <c r="H449" s="77" t="e">
        <v>#N/A</v>
      </c>
      <c r="I449" s="63">
        <f t="shared" si="29"/>
        <v>18767.699999999997</v>
      </c>
      <c r="J449" s="63" t="e">
        <f t="shared" si="30"/>
        <v>#N/A</v>
      </c>
      <c r="K449" s="172" t="e">
        <f t="shared" si="31"/>
        <v>#N/A</v>
      </c>
      <c r="L449" s="156"/>
      <c r="M449" s="173"/>
      <c r="N449" s="173"/>
      <c r="O449" s="190"/>
      <c r="P449" s="13"/>
    </row>
    <row r="450" spans="1:16" ht="15.75">
      <c r="A450">
        <v>444</v>
      </c>
      <c r="B450" s="85">
        <v>580447134</v>
      </c>
      <c r="C450" s="61" t="s">
        <v>458</v>
      </c>
      <c r="D450" s="65" t="s">
        <v>63</v>
      </c>
      <c r="E450" s="53">
        <v>46845.25</v>
      </c>
      <c r="F450" s="53">
        <v>18738</v>
      </c>
      <c r="G450" s="54">
        <f t="shared" si="32"/>
        <v>0.3999978653118513</v>
      </c>
      <c r="H450" s="62">
        <v>118882</v>
      </c>
      <c r="I450" s="63">
        <f t="shared" si="29"/>
        <v>32791.674999999996</v>
      </c>
      <c r="J450" s="63">
        <f t="shared" si="30"/>
        <v>95105.6</v>
      </c>
      <c r="K450" s="172">
        <f t="shared" si="31"/>
        <v>32792</v>
      </c>
      <c r="L450" s="156"/>
      <c r="M450" s="173"/>
      <c r="N450" s="173"/>
      <c r="O450" s="190"/>
      <c r="P450" s="13"/>
    </row>
    <row r="451" spans="1:16" ht="15.75">
      <c r="A451" s="13">
        <v>445</v>
      </c>
      <c r="B451" s="60">
        <v>580447423</v>
      </c>
      <c r="C451" s="61" t="s">
        <v>459</v>
      </c>
      <c r="D451" s="65" t="s">
        <v>63</v>
      </c>
      <c r="E451" s="53">
        <v>101498.25</v>
      </c>
      <c r="F451" s="53">
        <v>40599</v>
      </c>
      <c r="G451" s="54">
        <f t="shared" si="32"/>
        <v>0.3999970442840147</v>
      </c>
      <c r="H451" s="77">
        <v>120278</v>
      </c>
      <c r="I451" s="63">
        <f t="shared" si="29"/>
        <v>71048.775</v>
      </c>
      <c r="J451" s="63">
        <f t="shared" si="30"/>
        <v>96222.40000000001</v>
      </c>
      <c r="K451" s="172">
        <f t="shared" si="31"/>
        <v>71049</v>
      </c>
      <c r="L451" s="156"/>
      <c r="M451" s="173"/>
      <c r="N451" s="173"/>
      <c r="O451" s="190"/>
      <c r="P451" s="13"/>
    </row>
    <row r="452" spans="1:16" ht="15.75">
      <c r="A452">
        <v>446</v>
      </c>
      <c r="B452" s="60">
        <v>580447928</v>
      </c>
      <c r="C452" s="61" t="s">
        <v>296</v>
      </c>
      <c r="D452" s="65" t="s">
        <v>63</v>
      </c>
      <c r="E452" s="53">
        <f>278420.75+322065</f>
        <v>600485.75</v>
      </c>
      <c r="F452" s="53">
        <f>139210+128826</f>
        <v>268036</v>
      </c>
      <c r="G452" s="54">
        <f t="shared" si="32"/>
        <v>0.4463652967618299</v>
      </c>
      <c r="H452" s="62">
        <f>196565+216601</f>
        <v>413166</v>
      </c>
      <c r="I452" s="63">
        <f t="shared" si="29"/>
        <v>420340.02499999997</v>
      </c>
      <c r="J452" s="63">
        <f t="shared" si="30"/>
        <v>330532.80000000005</v>
      </c>
      <c r="K452" s="172">
        <f t="shared" si="31"/>
        <v>330533</v>
      </c>
      <c r="L452" s="156"/>
      <c r="M452" s="173"/>
      <c r="N452" s="173"/>
      <c r="O452" s="190"/>
      <c r="P452" s="13"/>
    </row>
    <row r="453" spans="1:16" ht="15.75">
      <c r="A453" s="13">
        <v>447</v>
      </c>
      <c r="B453" s="60">
        <v>580448397</v>
      </c>
      <c r="C453" s="153" t="s">
        <v>728</v>
      </c>
      <c r="D453" s="16" t="s">
        <v>60</v>
      </c>
      <c r="E453" s="53">
        <v>12637</v>
      </c>
      <c r="F453" s="53">
        <v>6319</v>
      </c>
      <c r="G453" s="54">
        <f t="shared" si="32"/>
        <v>0.5000395663527736</v>
      </c>
      <c r="H453" s="62">
        <v>10847</v>
      </c>
      <c r="I453" s="63">
        <f aca="true" t="shared" si="33" ref="I453:I516">E453*$I$2</f>
        <v>8845.9</v>
      </c>
      <c r="J453" s="63">
        <f aca="true" t="shared" si="34" ref="J453:J516">H453*$J$2</f>
        <v>8677.6</v>
      </c>
      <c r="K453" s="172">
        <f aca="true" t="shared" si="35" ref="K453:K516">ROUND(IF(IF(MIN(I453,J453)&lt;F453,MIN(I453,J453)-F453,MIN(I453,J453))&lt;0,0,IF(MIN(I453,J453)&lt;F453,MIN(I453,J453)-F453,MIN(I453,J453))),0)</f>
        <v>8678</v>
      </c>
      <c r="L453" s="156"/>
      <c r="M453" s="173"/>
      <c r="N453" s="173"/>
      <c r="O453" s="190"/>
      <c r="P453" s="13"/>
    </row>
    <row r="454" spans="1:16" ht="15.75">
      <c r="A454">
        <v>448</v>
      </c>
      <c r="B454" s="85">
        <v>580448561</v>
      </c>
      <c r="C454" s="61" t="s">
        <v>389</v>
      </c>
      <c r="D454" s="61" t="s">
        <v>60</v>
      </c>
      <c r="E454" s="53">
        <v>28137.25</v>
      </c>
      <c r="F454" s="53">
        <v>14069</v>
      </c>
      <c r="G454" s="54">
        <f t="shared" si="32"/>
        <v>0.5000133275284543</v>
      </c>
      <c r="H454" s="62">
        <v>32819</v>
      </c>
      <c r="I454" s="63">
        <f t="shared" si="33"/>
        <v>19696.074999999997</v>
      </c>
      <c r="J454" s="63">
        <f t="shared" si="34"/>
        <v>26255.2</v>
      </c>
      <c r="K454" s="172">
        <f t="shared" si="35"/>
        <v>19696</v>
      </c>
      <c r="L454" s="156"/>
      <c r="M454" s="173"/>
      <c r="N454" s="173"/>
      <c r="O454" s="190"/>
      <c r="P454" s="13"/>
    </row>
    <row r="455" spans="1:16" ht="15.75">
      <c r="A455" s="13">
        <v>449</v>
      </c>
      <c r="B455" s="61">
        <v>580449437</v>
      </c>
      <c r="C455" s="61" t="s">
        <v>197</v>
      </c>
      <c r="D455" s="61" t="s">
        <v>68</v>
      </c>
      <c r="E455" s="53">
        <v>83855.44859673771</v>
      </c>
      <c r="F455" s="53">
        <v>41928</v>
      </c>
      <c r="G455" s="54">
        <f t="shared" si="32"/>
        <v>0.5000032878201209</v>
      </c>
      <c r="H455" s="62">
        <v>23964</v>
      </c>
      <c r="I455" s="63">
        <f t="shared" si="33"/>
        <v>58698.814017716395</v>
      </c>
      <c r="J455" s="63">
        <f t="shared" si="34"/>
        <v>19171.2</v>
      </c>
      <c r="K455" s="172">
        <f t="shared" si="35"/>
        <v>0</v>
      </c>
      <c r="L455" s="156"/>
      <c r="M455" s="173"/>
      <c r="N455" s="173"/>
      <c r="O455" s="190"/>
      <c r="P455" s="13"/>
    </row>
    <row r="456" spans="1:16" ht="15.75">
      <c r="A456">
        <v>450</v>
      </c>
      <c r="B456" s="60">
        <v>580450666</v>
      </c>
      <c r="C456" s="61" t="s">
        <v>460</v>
      </c>
      <c r="D456" s="65" t="s">
        <v>63</v>
      </c>
      <c r="E456" s="53">
        <v>204589.5</v>
      </c>
      <c r="F456" s="53">
        <v>102295</v>
      </c>
      <c r="G456" s="54">
        <f t="shared" si="32"/>
        <v>0.5000012219590937</v>
      </c>
      <c r="H456" s="62">
        <v>224609</v>
      </c>
      <c r="I456" s="63">
        <f t="shared" si="33"/>
        <v>143212.65</v>
      </c>
      <c r="J456" s="63">
        <f t="shared" si="34"/>
        <v>179687.2</v>
      </c>
      <c r="K456" s="172">
        <f t="shared" si="35"/>
        <v>143213</v>
      </c>
      <c r="L456" s="156"/>
      <c r="M456" s="173"/>
      <c r="N456" s="173"/>
      <c r="O456" s="190"/>
      <c r="P456" s="13"/>
    </row>
    <row r="457" spans="1:16" ht="15.75">
      <c r="A457" s="13">
        <v>451</v>
      </c>
      <c r="B457" s="60">
        <v>580451318</v>
      </c>
      <c r="C457" s="61" t="s">
        <v>390</v>
      </c>
      <c r="D457" s="65" t="s">
        <v>63</v>
      </c>
      <c r="E457" s="53">
        <v>32785.25</v>
      </c>
      <c r="F457" s="53">
        <v>16393</v>
      </c>
      <c r="G457" s="54">
        <f t="shared" si="32"/>
        <v>0.5000114380704738</v>
      </c>
      <c r="H457" s="62">
        <v>40498</v>
      </c>
      <c r="I457" s="63">
        <f t="shared" si="33"/>
        <v>22949.675</v>
      </c>
      <c r="J457" s="63">
        <f t="shared" si="34"/>
        <v>32398.4</v>
      </c>
      <c r="K457" s="172">
        <f t="shared" si="35"/>
        <v>22950</v>
      </c>
      <c r="L457" s="156"/>
      <c r="M457" s="173"/>
      <c r="N457" s="173"/>
      <c r="O457" s="190"/>
      <c r="P457" s="13"/>
    </row>
    <row r="458" spans="1:16" ht="15.75">
      <c r="A458">
        <v>452</v>
      </c>
      <c r="B458" s="60">
        <v>580452233</v>
      </c>
      <c r="C458" s="61" t="s">
        <v>461</v>
      </c>
      <c r="D458" s="61" t="s">
        <v>60</v>
      </c>
      <c r="E458" s="53">
        <v>115346.25</v>
      </c>
      <c r="F458" s="53">
        <v>57673</v>
      </c>
      <c r="G458" s="54">
        <f t="shared" si="32"/>
        <v>0.4999989163063385</v>
      </c>
      <c r="H458" s="62">
        <v>136688</v>
      </c>
      <c r="I458" s="63">
        <f t="shared" si="33"/>
        <v>80742.375</v>
      </c>
      <c r="J458" s="63">
        <f t="shared" si="34"/>
        <v>109350.40000000001</v>
      </c>
      <c r="K458" s="172">
        <f t="shared" si="35"/>
        <v>80742</v>
      </c>
      <c r="L458" s="156"/>
      <c r="M458" s="173"/>
      <c r="N458" s="173"/>
      <c r="O458" s="190"/>
      <c r="P458" s="13"/>
    </row>
    <row r="459" spans="1:16" ht="15.75">
      <c r="A459" s="13">
        <v>453</v>
      </c>
      <c r="B459" s="60">
        <v>580453850</v>
      </c>
      <c r="C459" s="60" t="s">
        <v>645</v>
      </c>
      <c r="D459" s="61" t="s">
        <v>63</v>
      </c>
      <c r="E459" s="53">
        <v>40561</v>
      </c>
      <c r="F459" s="53">
        <v>16224</v>
      </c>
      <c r="G459" s="54">
        <f t="shared" si="32"/>
        <v>0.3999901383101995</v>
      </c>
      <c r="H459" s="62">
        <v>39437</v>
      </c>
      <c r="I459" s="63">
        <f t="shared" si="33"/>
        <v>28392.699999999997</v>
      </c>
      <c r="J459" s="63">
        <f t="shared" si="34"/>
        <v>31549.600000000002</v>
      </c>
      <c r="K459" s="172">
        <f t="shared" si="35"/>
        <v>28393</v>
      </c>
      <c r="L459" s="156"/>
      <c r="M459" s="173"/>
      <c r="N459" s="173"/>
      <c r="O459" s="190"/>
      <c r="P459" s="13"/>
    </row>
    <row r="460" spans="1:16" ht="15.75">
      <c r="A460">
        <v>454</v>
      </c>
      <c r="B460" s="60">
        <v>580454817</v>
      </c>
      <c r="C460" s="61" t="s">
        <v>391</v>
      </c>
      <c r="D460" s="65" t="s">
        <v>63</v>
      </c>
      <c r="E460" s="53">
        <v>83130</v>
      </c>
      <c r="F460" s="53">
        <v>41565</v>
      </c>
      <c r="G460" s="54">
        <f t="shared" si="32"/>
        <v>0.5</v>
      </c>
      <c r="H460" s="62">
        <v>119580</v>
      </c>
      <c r="I460" s="63">
        <f t="shared" si="33"/>
        <v>58190.99999999999</v>
      </c>
      <c r="J460" s="63">
        <f t="shared" si="34"/>
        <v>95664</v>
      </c>
      <c r="K460" s="172">
        <f t="shared" si="35"/>
        <v>58191</v>
      </c>
      <c r="L460" s="156"/>
      <c r="M460" s="173"/>
      <c r="N460" s="173"/>
      <c r="O460" s="190"/>
      <c r="P460" s="13"/>
    </row>
    <row r="461" spans="1:16" ht="15">
      <c r="A461" s="13">
        <v>455</v>
      </c>
      <c r="B461" s="66">
        <v>580455517</v>
      </c>
      <c r="C461" s="16" t="s">
        <v>743</v>
      </c>
      <c r="D461" s="16" t="s">
        <v>72</v>
      </c>
      <c r="E461" s="53">
        <v>3836</v>
      </c>
      <c r="F461" s="53">
        <v>1918</v>
      </c>
      <c r="G461" s="54">
        <f t="shared" si="32"/>
        <v>0.5</v>
      </c>
      <c r="H461" s="62">
        <v>2635</v>
      </c>
      <c r="I461" s="63">
        <f t="shared" si="33"/>
        <v>2685.2</v>
      </c>
      <c r="J461" s="63">
        <f t="shared" si="34"/>
        <v>2108</v>
      </c>
      <c r="K461" s="172">
        <f t="shared" si="35"/>
        <v>2108</v>
      </c>
      <c r="L461" s="156"/>
      <c r="M461" s="173"/>
      <c r="N461" s="173"/>
      <c r="O461" s="190"/>
      <c r="P461" s="13"/>
    </row>
    <row r="462" spans="1:16" ht="15.75">
      <c r="A462">
        <v>456</v>
      </c>
      <c r="B462" s="60">
        <v>580455806</v>
      </c>
      <c r="C462" s="61" t="s">
        <v>297</v>
      </c>
      <c r="D462" s="65" t="s">
        <v>63</v>
      </c>
      <c r="E462" s="53">
        <v>57574</v>
      </c>
      <c r="F462" s="53">
        <v>28787</v>
      </c>
      <c r="G462" s="54">
        <f t="shared" si="32"/>
        <v>0.5</v>
      </c>
      <c r="H462" s="62">
        <v>60356</v>
      </c>
      <c r="I462" s="63">
        <f t="shared" si="33"/>
        <v>40301.799999999996</v>
      </c>
      <c r="J462" s="63">
        <f t="shared" si="34"/>
        <v>48284.8</v>
      </c>
      <c r="K462" s="172">
        <f t="shared" si="35"/>
        <v>40302</v>
      </c>
      <c r="L462" s="156"/>
      <c r="M462" s="173"/>
      <c r="N462" s="173"/>
      <c r="O462" s="190"/>
      <c r="P462" s="13"/>
    </row>
    <row r="463" spans="1:16" ht="15.75">
      <c r="A463" s="13">
        <v>457</v>
      </c>
      <c r="B463" s="60">
        <v>580455947</v>
      </c>
      <c r="C463" s="61" t="s">
        <v>198</v>
      </c>
      <c r="D463" s="61" t="s">
        <v>60</v>
      </c>
      <c r="E463" s="53">
        <v>129567.25</v>
      </c>
      <c r="F463" s="53">
        <v>64784</v>
      </c>
      <c r="G463" s="54">
        <f t="shared" si="32"/>
        <v>0.5000028942498973</v>
      </c>
      <c r="H463" s="62">
        <v>116578</v>
      </c>
      <c r="I463" s="63">
        <f t="shared" si="33"/>
        <v>90697.075</v>
      </c>
      <c r="J463" s="63">
        <f t="shared" si="34"/>
        <v>93262.40000000001</v>
      </c>
      <c r="K463" s="172">
        <f t="shared" si="35"/>
        <v>90697</v>
      </c>
      <c r="L463" s="156"/>
      <c r="M463" s="173"/>
      <c r="N463" s="173"/>
      <c r="O463" s="190"/>
      <c r="P463" s="13"/>
    </row>
    <row r="464" spans="1:16" ht="15.75">
      <c r="A464">
        <v>458</v>
      </c>
      <c r="B464" s="85">
        <v>580456325</v>
      </c>
      <c r="C464" s="61" t="s">
        <v>298</v>
      </c>
      <c r="D464" s="61" t="s">
        <v>60</v>
      </c>
      <c r="E464" s="53">
        <v>270466</v>
      </c>
      <c r="F464" s="53">
        <v>135233</v>
      </c>
      <c r="G464" s="54">
        <f t="shared" si="32"/>
        <v>0.5</v>
      </c>
      <c r="H464" s="62">
        <v>250158</v>
      </c>
      <c r="I464" s="63">
        <f t="shared" si="33"/>
        <v>189326.19999999998</v>
      </c>
      <c r="J464" s="63">
        <f t="shared" si="34"/>
        <v>200126.40000000002</v>
      </c>
      <c r="K464" s="172">
        <f t="shared" si="35"/>
        <v>189326</v>
      </c>
      <c r="L464" s="156"/>
      <c r="M464" s="173"/>
      <c r="N464" s="173"/>
      <c r="O464" s="190"/>
      <c r="P464" s="13"/>
    </row>
    <row r="465" spans="1:16" ht="15.75">
      <c r="A465" s="13">
        <v>459</v>
      </c>
      <c r="B465" s="60">
        <v>580458131</v>
      </c>
      <c r="C465" s="61" t="s">
        <v>534</v>
      </c>
      <c r="D465" s="65" t="s">
        <v>63</v>
      </c>
      <c r="E465" s="53">
        <v>196304</v>
      </c>
      <c r="F465" s="53">
        <v>78522</v>
      </c>
      <c r="G465" s="54">
        <f t="shared" si="32"/>
        <v>0.40000203765588066</v>
      </c>
      <c r="H465" s="62">
        <v>219709</v>
      </c>
      <c r="I465" s="63">
        <f t="shared" si="33"/>
        <v>137412.8</v>
      </c>
      <c r="J465" s="63">
        <f t="shared" si="34"/>
        <v>175767.2</v>
      </c>
      <c r="K465" s="172">
        <f t="shared" si="35"/>
        <v>137413</v>
      </c>
      <c r="L465" s="156"/>
      <c r="M465" s="173"/>
      <c r="N465" s="173"/>
      <c r="O465" s="190"/>
      <c r="P465" s="13"/>
    </row>
    <row r="466" spans="1:16" ht="15.75">
      <c r="A466">
        <v>460</v>
      </c>
      <c r="B466" s="60">
        <v>580458859</v>
      </c>
      <c r="C466" s="61" t="s">
        <v>604</v>
      </c>
      <c r="D466" s="61" t="s">
        <v>94</v>
      </c>
      <c r="E466" s="53">
        <v>287445.25</v>
      </c>
      <c r="F466" s="53">
        <v>143723</v>
      </c>
      <c r="G466" s="54">
        <f t="shared" si="32"/>
        <v>0.5000013045962666</v>
      </c>
      <c r="H466" s="62">
        <v>365365</v>
      </c>
      <c r="I466" s="63">
        <f t="shared" si="33"/>
        <v>201211.675</v>
      </c>
      <c r="J466" s="63">
        <f t="shared" si="34"/>
        <v>292292</v>
      </c>
      <c r="K466" s="172">
        <f t="shared" si="35"/>
        <v>201212</v>
      </c>
      <c r="L466" s="156"/>
      <c r="M466" s="173"/>
      <c r="N466" s="173"/>
      <c r="O466" s="190"/>
      <c r="P466" s="13"/>
    </row>
    <row r="467" spans="1:16" ht="15.75">
      <c r="A467" s="13">
        <v>461</v>
      </c>
      <c r="B467" s="60">
        <v>580459287</v>
      </c>
      <c r="C467" s="60" t="s">
        <v>646</v>
      </c>
      <c r="D467" s="61" t="s">
        <v>63</v>
      </c>
      <c r="E467" s="53">
        <v>101844.5</v>
      </c>
      <c r="F467" s="53">
        <v>50922</v>
      </c>
      <c r="G467" s="54">
        <f t="shared" si="32"/>
        <v>0.4999975452773591</v>
      </c>
      <c r="H467" s="62">
        <v>152205</v>
      </c>
      <c r="I467" s="63">
        <f t="shared" si="33"/>
        <v>71291.15</v>
      </c>
      <c r="J467" s="63">
        <f t="shared" si="34"/>
        <v>121764</v>
      </c>
      <c r="K467" s="172">
        <f t="shared" si="35"/>
        <v>71291</v>
      </c>
      <c r="L467" s="156"/>
      <c r="M467" s="173"/>
      <c r="N467" s="173"/>
      <c r="O467" s="190"/>
      <c r="P467" s="13"/>
    </row>
    <row r="468" spans="1:16" ht="15.75">
      <c r="A468">
        <v>462</v>
      </c>
      <c r="B468" s="101">
        <v>580459584</v>
      </c>
      <c r="C468" s="102" t="s">
        <v>670</v>
      </c>
      <c r="D468" s="102" t="s">
        <v>72</v>
      </c>
      <c r="E468" s="53">
        <v>30810</v>
      </c>
      <c r="F468" s="53">
        <v>12324</v>
      </c>
      <c r="G468" s="54">
        <f t="shared" si="32"/>
        <v>0.4</v>
      </c>
      <c r="H468" s="62">
        <v>86430</v>
      </c>
      <c r="I468" s="63">
        <f t="shared" si="33"/>
        <v>21567</v>
      </c>
      <c r="J468" s="63">
        <f t="shared" si="34"/>
        <v>69144</v>
      </c>
      <c r="K468" s="172">
        <f t="shared" si="35"/>
        <v>21567</v>
      </c>
      <c r="L468" s="156"/>
      <c r="M468" s="173"/>
      <c r="N468" s="173"/>
      <c r="O468" s="190"/>
      <c r="P468" s="13"/>
    </row>
    <row r="469" spans="1:16" ht="15.75">
      <c r="A469" s="13">
        <v>463</v>
      </c>
      <c r="B469" s="60">
        <v>580459873</v>
      </c>
      <c r="C469" s="61" t="s">
        <v>199</v>
      </c>
      <c r="D469" s="65" t="s">
        <v>63</v>
      </c>
      <c r="E469" s="53">
        <v>207337.25</v>
      </c>
      <c r="F469" s="53">
        <v>103669</v>
      </c>
      <c r="G469" s="54">
        <f t="shared" si="32"/>
        <v>0.5000018086475054</v>
      </c>
      <c r="H469" s="62">
        <v>240931</v>
      </c>
      <c r="I469" s="63">
        <f t="shared" si="33"/>
        <v>145136.07499999998</v>
      </c>
      <c r="J469" s="63">
        <f t="shared" si="34"/>
        <v>192744.80000000002</v>
      </c>
      <c r="K469" s="172">
        <f t="shared" si="35"/>
        <v>145136</v>
      </c>
      <c r="L469" s="156"/>
      <c r="M469" s="173"/>
      <c r="N469" s="173"/>
      <c r="O469" s="190"/>
      <c r="P469" s="13"/>
    </row>
    <row r="470" spans="1:16" ht="15.75">
      <c r="A470">
        <v>464</v>
      </c>
      <c r="B470" s="108">
        <v>580460269</v>
      </c>
      <c r="C470" s="61" t="s">
        <v>759</v>
      </c>
      <c r="D470" s="61" t="s">
        <v>94</v>
      </c>
      <c r="E470" s="53">
        <v>198076</v>
      </c>
      <c r="F470" s="53">
        <v>99038</v>
      </c>
      <c r="G470" s="54">
        <f t="shared" si="32"/>
        <v>0.5</v>
      </c>
      <c r="H470" s="62">
        <v>279621</v>
      </c>
      <c r="I470" s="63">
        <f t="shared" si="33"/>
        <v>138653.19999999998</v>
      </c>
      <c r="J470" s="63">
        <f t="shared" si="34"/>
        <v>223696.80000000002</v>
      </c>
      <c r="K470" s="172">
        <f t="shared" si="35"/>
        <v>138653</v>
      </c>
      <c r="L470" s="156"/>
      <c r="M470" s="173"/>
      <c r="N470" s="173"/>
      <c r="O470" s="190"/>
      <c r="P470" s="13"/>
    </row>
    <row r="471" spans="1:15" s="13" customFormat="1" ht="15">
      <c r="A471" s="13">
        <v>465</v>
      </c>
      <c r="B471" s="89">
        <v>580460871</v>
      </c>
      <c r="C471" s="90" t="s">
        <v>535</v>
      </c>
      <c r="D471" s="90" t="s">
        <v>72</v>
      </c>
      <c r="E471" s="53">
        <v>1572</v>
      </c>
      <c r="F471" s="53">
        <v>786</v>
      </c>
      <c r="G471" s="54">
        <f t="shared" si="32"/>
        <v>0.5</v>
      </c>
      <c r="H471" s="62">
        <v>929</v>
      </c>
      <c r="I471" s="63">
        <f t="shared" si="33"/>
        <v>1100.3999999999999</v>
      </c>
      <c r="J471" s="63">
        <f t="shared" si="34"/>
        <v>743.2</v>
      </c>
      <c r="K471" s="172">
        <f t="shared" si="35"/>
        <v>0</v>
      </c>
      <c r="L471" s="156"/>
      <c r="M471" s="173"/>
      <c r="N471" s="173"/>
      <c r="O471" s="190"/>
    </row>
    <row r="472" spans="1:16" ht="15.75">
      <c r="A472">
        <v>466</v>
      </c>
      <c r="B472" s="60">
        <v>580460988</v>
      </c>
      <c r="C472" s="61" t="s">
        <v>462</v>
      </c>
      <c r="D472" s="61" t="s">
        <v>60</v>
      </c>
      <c r="E472" s="53">
        <v>13704</v>
      </c>
      <c r="F472" s="53">
        <v>6852</v>
      </c>
      <c r="G472" s="54">
        <f t="shared" si="32"/>
        <v>0.5</v>
      </c>
      <c r="H472" s="62">
        <v>8598</v>
      </c>
      <c r="I472" s="63">
        <f t="shared" si="33"/>
        <v>9592.8</v>
      </c>
      <c r="J472" s="63">
        <f t="shared" si="34"/>
        <v>6878.400000000001</v>
      </c>
      <c r="K472" s="172">
        <f t="shared" si="35"/>
        <v>6878</v>
      </c>
      <c r="L472" s="156"/>
      <c r="M472" s="173"/>
      <c r="N472" s="173"/>
      <c r="O472" s="190"/>
      <c r="P472" s="13"/>
    </row>
    <row r="473" spans="1:16" ht="15.75">
      <c r="A473" s="13">
        <v>467</v>
      </c>
      <c r="B473" s="60">
        <v>580462166</v>
      </c>
      <c r="C473" s="61" t="s">
        <v>571</v>
      </c>
      <c r="D473" s="65" t="s">
        <v>63</v>
      </c>
      <c r="E473" s="53">
        <v>405143.25</v>
      </c>
      <c r="F473" s="53">
        <v>202572</v>
      </c>
      <c r="G473" s="54">
        <f t="shared" si="32"/>
        <v>0.5000009255985383</v>
      </c>
      <c r="H473" s="62">
        <v>439418</v>
      </c>
      <c r="I473" s="63">
        <f t="shared" si="33"/>
        <v>283600.27499999997</v>
      </c>
      <c r="J473" s="63">
        <f t="shared" si="34"/>
        <v>351534.4</v>
      </c>
      <c r="K473" s="172">
        <f t="shared" si="35"/>
        <v>283600</v>
      </c>
      <c r="L473" s="156"/>
      <c r="M473" s="173"/>
      <c r="N473" s="173"/>
      <c r="O473" s="190"/>
      <c r="P473" s="13"/>
    </row>
    <row r="474" spans="1:16" ht="15.75">
      <c r="A474">
        <v>468</v>
      </c>
      <c r="B474" s="60">
        <v>580462240</v>
      </c>
      <c r="C474" s="61" t="s">
        <v>705</v>
      </c>
      <c r="D474" s="61" t="s">
        <v>60</v>
      </c>
      <c r="E474" s="53">
        <v>11337</v>
      </c>
      <c r="F474" s="53">
        <v>5669</v>
      </c>
      <c r="G474" s="54">
        <f t="shared" si="32"/>
        <v>0.5000441033783187</v>
      </c>
      <c r="H474" s="62">
        <v>15507</v>
      </c>
      <c r="I474" s="63">
        <f t="shared" si="33"/>
        <v>7935.9</v>
      </c>
      <c r="J474" s="63">
        <f t="shared" si="34"/>
        <v>12405.6</v>
      </c>
      <c r="K474" s="172">
        <f t="shared" si="35"/>
        <v>7936</v>
      </c>
      <c r="L474" s="156"/>
      <c r="M474" s="173"/>
      <c r="N474" s="173"/>
      <c r="O474" s="190"/>
      <c r="P474" s="13"/>
    </row>
    <row r="475" spans="1:16" ht="15">
      <c r="A475" s="13">
        <v>469</v>
      </c>
      <c r="B475" s="66">
        <v>580462653</v>
      </c>
      <c r="C475" s="66" t="s">
        <v>557</v>
      </c>
      <c r="D475" s="16" t="s">
        <v>60</v>
      </c>
      <c r="E475" s="53">
        <v>62885</v>
      </c>
      <c r="F475" s="53">
        <v>31443</v>
      </c>
      <c r="G475" s="54">
        <f t="shared" si="32"/>
        <v>0.5000079510217063</v>
      </c>
      <c r="H475" s="62">
        <v>96436</v>
      </c>
      <c r="I475" s="63">
        <f t="shared" si="33"/>
        <v>44019.5</v>
      </c>
      <c r="J475" s="63">
        <f t="shared" si="34"/>
        <v>77148.8</v>
      </c>
      <c r="K475" s="172">
        <f t="shared" si="35"/>
        <v>44020</v>
      </c>
      <c r="L475" s="156"/>
      <c r="M475" s="173"/>
      <c r="N475" s="173"/>
      <c r="O475" s="190"/>
      <c r="P475" s="13"/>
    </row>
    <row r="476" spans="1:16" s="74" customFormat="1" ht="15.75">
      <c r="A476">
        <v>470</v>
      </c>
      <c r="B476" s="60">
        <v>580462984</v>
      </c>
      <c r="C476" s="61" t="s">
        <v>392</v>
      </c>
      <c r="D476" s="61" t="s">
        <v>60</v>
      </c>
      <c r="E476" s="53">
        <v>101498.25</v>
      </c>
      <c r="F476" s="53">
        <v>50749</v>
      </c>
      <c r="G476" s="54">
        <f t="shared" si="32"/>
        <v>0.4999987684516728</v>
      </c>
      <c r="H476" s="62">
        <v>114867</v>
      </c>
      <c r="I476" s="63">
        <f t="shared" si="33"/>
        <v>71048.775</v>
      </c>
      <c r="J476" s="63">
        <f t="shared" si="34"/>
        <v>91893.6</v>
      </c>
      <c r="K476" s="172">
        <f t="shared" si="35"/>
        <v>71049</v>
      </c>
      <c r="L476" s="156"/>
      <c r="M476" s="173"/>
      <c r="N476" s="173"/>
      <c r="O476" s="190"/>
      <c r="P476" s="13"/>
    </row>
    <row r="477" spans="1:16" ht="15.75">
      <c r="A477" s="13">
        <v>471</v>
      </c>
      <c r="B477" s="60">
        <v>580463867</v>
      </c>
      <c r="C477" s="60" t="s">
        <v>647</v>
      </c>
      <c r="D477" s="61" t="s">
        <v>63</v>
      </c>
      <c r="E477" s="53">
        <v>135498.5</v>
      </c>
      <c r="F477" s="53">
        <v>67749</v>
      </c>
      <c r="G477" s="54">
        <f t="shared" si="32"/>
        <v>0.49999815496112504</v>
      </c>
      <c r="H477" s="62">
        <v>121639</v>
      </c>
      <c r="I477" s="63">
        <f t="shared" si="33"/>
        <v>94848.95</v>
      </c>
      <c r="J477" s="63">
        <f t="shared" si="34"/>
        <v>97311.20000000001</v>
      </c>
      <c r="K477" s="172">
        <f t="shared" si="35"/>
        <v>94849</v>
      </c>
      <c r="L477" s="156"/>
      <c r="M477" s="173"/>
      <c r="N477" s="173"/>
      <c r="O477" s="190"/>
      <c r="P477" s="13"/>
    </row>
    <row r="478" spans="1:16" ht="15.75">
      <c r="A478">
        <v>472</v>
      </c>
      <c r="B478" s="60">
        <v>580464964</v>
      </c>
      <c r="C478" s="61" t="s">
        <v>536</v>
      </c>
      <c r="D478" s="61" t="s">
        <v>60</v>
      </c>
      <c r="E478" s="53">
        <v>305085</v>
      </c>
      <c r="F478" s="53">
        <v>152543</v>
      </c>
      <c r="G478" s="54">
        <f t="shared" si="32"/>
        <v>0.5000016388875231</v>
      </c>
      <c r="H478" s="62">
        <v>393305</v>
      </c>
      <c r="I478" s="63">
        <f t="shared" si="33"/>
        <v>213559.5</v>
      </c>
      <c r="J478" s="63">
        <f t="shared" si="34"/>
        <v>314644</v>
      </c>
      <c r="K478" s="172">
        <f t="shared" si="35"/>
        <v>213560</v>
      </c>
      <c r="L478" s="156"/>
      <c r="M478" s="173"/>
      <c r="N478" s="173"/>
      <c r="O478" s="190"/>
      <c r="P478" s="13"/>
    </row>
    <row r="479" spans="1:16" ht="15.75">
      <c r="A479" s="13">
        <v>473</v>
      </c>
      <c r="B479" s="60">
        <v>580465599</v>
      </c>
      <c r="C479" s="61" t="s">
        <v>393</v>
      </c>
      <c r="D479" s="61" t="s">
        <v>60</v>
      </c>
      <c r="E479" s="53">
        <v>149564.75</v>
      </c>
      <c r="F479" s="53">
        <v>74782</v>
      </c>
      <c r="G479" s="54">
        <f t="shared" si="32"/>
        <v>0.4999974927247229</v>
      </c>
      <c r="H479" s="62">
        <v>55679</v>
      </c>
      <c r="I479" s="63">
        <f t="shared" si="33"/>
        <v>104695.325</v>
      </c>
      <c r="J479" s="63">
        <f t="shared" si="34"/>
        <v>44543.200000000004</v>
      </c>
      <c r="K479" s="172">
        <f t="shared" si="35"/>
        <v>0</v>
      </c>
      <c r="L479" s="156"/>
      <c r="M479" s="173"/>
      <c r="N479" s="173"/>
      <c r="O479" s="190"/>
      <c r="P479" s="13"/>
    </row>
    <row r="480" spans="1:16" ht="15">
      <c r="A480">
        <v>474</v>
      </c>
      <c r="B480" s="66">
        <v>580465870</v>
      </c>
      <c r="C480" s="16" t="s">
        <v>200</v>
      </c>
      <c r="D480" s="16" t="s">
        <v>72</v>
      </c>
      <c r="E480" s="53">
        <v>1030.75</v>
      </c>
      <c r="F480" s="53">
        <v>515</v>
      </c>
      <c r="G480" s="54">
        <f t="shared" si="32"/>
        <v>0.4996361872422993</v>
      </c>
      <c r="H480" s="62">
        <v>1628</v>
      </c>
      <c r="I480" s="63">
        <f t="shared" si="33"/>
        <v>721.525</v>
      </c>
      <c r="J480" s="63">
        <f t="shared" si="34"/>
        <v>1302.4</v>
      </c>
      <c r="K480" s="172">
        <f t="shared" si="35"/>
        <v>722</v>
      </c>
      <c r="L480" s="156"/>
      <c r="M480" s="173"/>
      <c r="N480" s="173"/>
      <c r="O480" s="190"/>
      <c r="P480" s="13"/>
    </row>
    <row r="481" spans="1:16" ht="15.75">
      <c r="A481" s="13">
        <v>475</v>
      </c>
      <c r="B481" s="101">
        <v>580466050</v>
      </c>
      <c r="C481" s="103" t="s">
        <v>671</v>
      </c>
      <c r="D481" s="103" t="s">
        <v>68</v>
      </c>
      <c r="E481" s="53">
        <v>28665</v>
      </c>
      <c r="F481" s="53">
        <v>11466</v>
      </c>
      <c r="G481" s="54">
        <f t="shared" si="32"/>
        <v>0.4</v>
      </c>
      <c r="H481" s="77" t="e">
        <v>#N/A</v>
      </c>
      <c r="I481" s="63">
        <f t="shared" si="33"/>
        <v>20065.5</v>
      </c>
      <c r="J481" s="63" t="e">
        <f t="shared" si="34"/>
        <v>#N/A</v>
      </c>
      <c r="K481" s="172" t="e">
        <f t="shared" si="35"/>
        <v>#N/A</v>
      </c>
      <c r="L481" s="156"/>
      <c r="M481" s="173"/>
      <c r="N481" s="173"/>
      <c r="O481" s="190"/>
      <c r="P481" s="13"/>
    </row>
    <row r="482" spans="1:16" ht="15.75">
      <c r="A482">
        <v>476</v>
      </c>
      <c r="B482" s="86">
        <v>580466092</v>
      </c>
      <c r="C482" s="67" t="s">
        <v>201</v>
      </c>
      <c r="D482" s="67" t="s">
        <v>60</v>
      </c>
      <c r="E482" s="53">
        <v>166854</v>
      </c>
      <c r="F482" s="53">
        <v>78944</v>
      </c>
      <c r="G482" s="54">
        <f t="shared" si="32"/>
        <v>0.47313219940786555</v>
      </c>
      <c r="H482" s="62">
        <v>184062</v>
      </c>
      <c r="I482" s="63">
        <f t="shared" si="33"/>
        <v>116797.79999999999</v>
      </c>
      <c r="J482" s="63">
        <f t="shared" si="34"/>
        <v>147249.6</v>
      </c>
      <c r="K482" s="172">
        <f t="shared" si="35"/>
        <v>116798</v>
      </c>
      <c r="L482" s="156"/>
      <c r="M482" s="173"/>
      <c r="N482" s="173"/>
      <c r="O482" s="190"/>
      <c r="P482" s="13"/>
    </row>
    <row r="483" spans="1:16" ht="15.75">
      <c r="A483" s="13">
        <v>477</v>
      </c>
      <c r="B483" s="60">
        <v>580466613</v>
      </c>
      <c r="C483" s="61" t="s">
        <v>202</v>
      </c>
      <c r="D483" s="61" t="s">
        <v>60</v>
      </c>
      <c r="E483" s="53">
        <v>85201</v>
      </c>
      <c r="F483" s="53">
        <v>42601</v>
      </c>
      <c r="G483" s="54">
        <f t="shared" si="32"/>
        <v>0.5000058684757221</v>
      </c>
      <c r="H483" s="62">
        <v>126213</v>
      </c>
      <c r="I483" s="63">
        <f t="shared" si="33"/>
        <v>59640.7</v>
      </c>
      <c r="J483" s="63">
        <f t="shared" si="34"/>
        <v>100970.40000000001</v>
      </c>
      <c r="K483" s="172">
        <f t="shared" si="35"/>
        <v>59641</v>
      </c>
      <c r="L483" s="156"/>
      <c r="M483" s="173"/>
      <c r="N483" s="173"/>
      <c r="O483" s="190"/>
      <c r="P483" s="13"/>
    </row>
    <row r="484" spans="1:16" ht="15.75">
      <c r="A484">
        <v>478</v>
      </c>
      <c r="B484" s="60">
        <v>580466837</v>
      </c>
      <c r="C484" s="61" t="s">
        <v>706</v>
      </c>
      <c r="D484" s="65" t="s">
        <v>63</v>
      </c>
      <c r="E484" s="53">
        <v>26662</v>
      </c>
      <c r="F484" s="53">
        <v>13331</v>
      </c>
      <c r="G484" s="54">
        <f t="shared" si="32"/>
        <v>0.5</v>
      </c>
      <c r="H484" s="62">
        <v>25278</v>
      </c>
      <c r="I484" s="63">
        <f t="shared" si="33"/>
        <v>18663.399999999998</v>
      </c>
      <c r="J484" s="63">
        <f t="shared" si="34"/>
        <v>20222.4</v>
      </c>
      <c r="K484" s="172">
        <f t="shared" si="35"/>
        <v>18663</v>
      </c>
      <c r="L484" s="156"/>
      <c r="M484" s="173"/>
      <c r="N484" s="173"/>
      <c r="O484" s="190"/>
      <c r="P484" s="13"/>
    </row>
    <row r="485" spans="1:16" ht="15.75">
      <c r="A485" s="13">
        <v>479</v>
      </c>
      <c r="B485" s="60">
        <v>580466902</v>
      </c>
      <c r="C485" s="61" t="s">
        <v>463</v>
      </c>
      <c r="D485" s="61" t="s">
        <v>60</v>
      </c>
      <c r="E485" s="53">
        <v>159869</v>
      </c>
      <c r="F485" s="53">
        <v>79935</v>
      </c>
      <c r="G485" s="54">
        <f t="shared" si="32"/>
        <v>0.5000031275606903</v>
      </c>
      <c r="H485" s="62">
        <v>189977</v>
      </c>
      <c r="I485" s="63">
        <f t="shared" si="33"/>
        <v>111908.29999999999</v>
      </c>
      <c r="J485" s="63">
        <f t="shared" si="34"/>
        <v>151981.6</v>
      </c>
      <c r="K485" s="172">
        <f t="shared" si="35"/>
        <v>111908</v>
      </c>
      <c r="L485" s="156"/>
      <c r="M485" s="173"/>
      <c r="N485" s="173"/>
      <c r="O485" s="190"/>
      <c r="P485" s="13"/>
    </row>
    <row r="486" spans="1:16" ht="15.75">
      <c r="A486">
        <v>480</v>
      </c>
      <c r="B486" s="60">
        <v>580466993</v>
      </c>
      <c r="C486" s="61" t="s">
        <v>203</v>
      </c>
      <c r="D486" s="65" t="s">
        <v>63</v>
      </c>
      <c r="E486" s="53">
        <f>330785.25+261267</f>
        <v>592052.25</v>
      </c>
      <c r="F486" s="53">
        <f>165393+130633</f>
        <v>296026</v>
      </c>
      <c r="G486" s="54">
        <f t="shared" si="32"/>
        <v>0.4999997888699857</v>
      </c>
      <c r="H486" s="62">
        <f>472210+350000</f>
        <v>822210</v>
      </c>
      <c r="I486" s="63">
        <f t="shared" si="33"/>
        <v>414436.57499999995</v>
      </c>
      <c r="J486" s="63">
        <f t="shared" si="34"/>
        <v>657768</v>
      </c>
      <c r="K486" s="172">
        <f t="shared" si="35"/>
        <v>414437</v>
      </c>
      <c r="L486" s="156"/>
      <c r="M486" s="173"/>
      <c r="N486" s="173"/>
      <c r="O486" s="190"/>
      <c r="P486" s="13"/>
    </row>
    <row r="487" spans="1:16" ht="15">
      <c r="A487" s="13">
        <v>481</v>
      </c>
      <c r="B487" s="66">
        <v>580467488</v>
      </c>
      <c r="C487" s="66" t="s">
        <v>707</v>
      </c>
      <c r="D487" s="16" t="s">
        <v>68</v>
      </c>
      <c r="E487" s="53">
        <v>12637</v>
      </c>
      <c r="F487" s="53">
        <v>6319</v>
      </c>
      <c r="G487" s="54">
        <f t="shared" si="32"/>
        <v>0.5000395663527736</v>
      </c>
      <c r="H487" s="62">
        <v>4747</v>
      </c>
      <c r="I487" s="63">
        <f t="shared" si="33"/>
        <v>8845.9</v>
      </c>
      <c r="J487" s="63">
        <f t="shared" si="34"/>
        <v>3797.6000000000004</v>
      </c>
      <c r="K487" s="172">
        <f t="shared" si="35"/>
        <v>0</v>
      </c>
      <c r="L487" s="156"/>
      <c r="M487" s="173"/>
      <c r="N487" s="173"/>
      <c r="O487" s="190"/>
      <c r="P487" s="13"/>
    </row>
    <row r="488" spans="1:16" ht="15.75">
      <c r="A488">
        <v>482</v>
      </c>
      <c r="B488" s="60">
        <v>580467819</v>
      </c>
      <c r="C488" s="61" t="s">
        <v>204</v>
      </c>
      <c r="D488" s="61" t="s">
        <v>60</v>
      </c>
      <c r="E488" s="53">
        <v>87982.5</v>
      </c>
      <c r="F488" s="53">
        <v>43991</v>
      </c>
      <c r="G488" s="54">
        <f t="shared" si="32"/>
        <v>0.4999971585258432</v>
      </c>
      <c r="H488" s="62">
        <v>400451</v>
      </c>
      <c r="I488" s="63">
        <f t="shared" si="33"/>
        <v>61587.74999999999</v>
      </c>
      <c r="J488" s="63">
        <f t="shared" si="34"/>
        <v>320360.80000000005</v>
      </c>
      <c r="K488" s="172">
        <f t="shared" si="35"/>
        <v>61588</v>
      </c>
      <c r="L488" s="156"/>
      <c r="M488" s="173"/>
      <c r="N488" s="173"/>
      <c r="O488" s="190"/>
      <c r="P488" s="13"/>
    </row>
    <row r="489" spans="1:16" ht="15.75">
      <c r="A489" s="13">
        <v>483</v>
      </c>
      <c r="B489" s="60">
        <v>580467868</v>
      </c>
      <c r="C489" s="61" t="s">
        <v>205</v>
      </c>
      <c r="D489" s="61" t="s">
        <v>60</v>
      </c>
      <c r="E489" s="53">
        <v>197358.25</v>
      </c>
      <c r="F489" s="53">
        <v>98679</v>
      </c>
      <c r="G489" s="54">
        <f t="shared" si="32"/>
        <v>0.4999993666340272</v>
      </c>
      <c r="H489" s="62">
        <v>281976</v>
      </c>
      <c r="I489" s="63">
        <f t="shared" si="33"/>
        <v>138150.775</v>
      </c>
      <c r="J489" s="63">
        <f t="shared" si="34"/>
        <v>225580.80000000002</v>
      </c>
      <c r="K489" s="172">
        <f t="shared" si="35"/>
        <v>138151</v>
      </c>
      <c r="L489" s="156"/>
      <c r="M489" s="173"/>
      <c r="N489" s="173"/>
      <c r="O489" s="190"/>
      <c r="P489" s="13"/>
    </row>
    <row r="490" spans="1:16" ht="15.75">
      <c r="A490">
        <v>484</v>
      </c>
      <c r="B490" s="85">
        <v>580467926</v>
      </c>
      <c r="C490" s="61" t="s">
        <v>605</v>
      </c>
      <c r="D490" s="65" t="s">
        <v>63</v>
      </c>
      <c r="E490" s="53">
        <v>186204.25</v>
      </c>
      <c r="F490" s="53">
        <v>93102</v>
      </c>
      <c r="G490" s="54">
        <f t="shared" si="32"/>
        <v>0.49999932869416247</v>
      </c>
      <c r="H490" s="62">
        <v>312305</v>
      </c>
      <c r="I490" s="63">
        <f t="shared" si="33"/>
        <v>130342.97499999999</v>
      </c>
      <c r="J490" s="63">
        <f t="shared" si="34"/>
        <v>249844</v>
      </c>
      <c r="K490" s="172">
        <f t="shared" si="35"/>
        <v>130343</v>
      </c>
      <c r="L490" s="156"/>
      <c r="M490" s="173"/>
      <c r="N490" s="173"/>
      <c r="O490" s="190"/>
      <c r="P490" s="13"/>
    </row>
    <row r="491" spans="1:16" ht="15.75">
      <c r="A491" s="13">
        <v>485</v>
      </c>
      <c r="B491" s="85">
        <v>580468171</v>
      </c>
      <c r="C491" s="61" t="s">
        <v>299</v>
      </c>
      <c r="D491" s="65" t="s">
        <v>63</v>
      </c>
      <c r="E491" s="53">
        <v>95391.5</v>
      </c>
      <c r="F491" s="53">
        <v>47696</v>
      </c>
      <c r="G491" s="54">
        <f t="shared" si="32"/>
        <v>0.5000026207785809</v>
      </c>
      <c r="H491" s="62">
        <v>83383</v>
      </c>
      <c r="I491" s="63">
        <f t="shared" si="33"/>
        <v>66774.05</v>
      </c>
      <c r="J491" s="63">
        <f t="shared" si="34"/>
        <v>66706.40000000001</v>
      </c>
      <c r="K491" s="172">
        <f t="shared" si="35"/>
        <v>66706</v>
      </c>
      <c r="L491" s="156"/>
      <c r="M491" s="173"/>
      <c r="N491" s="173"/>
      <c r="O491" s="190"/>
      <c r="P491" s="13"/>
    </row>
    <row r="492" spans="1:16" ht="15.75">
      <c r="A492">
        <v>486</v>
      </c>
      <c r="B492" s="60">
        <v>580470292</v>
      </c>
      <c r="C492" s="61" t="s">
        <v>572</v>
      </c>
      <c r="D492" s="65" t="s">
        <v>63</v>
      </c>
      <c r="E492" s="53">
        <v>127600.25</v>
      </c>
      <c r="F492" s="53">
        <v>63800</v>
      </c>
      <c r="G492" s="54">
        <f t="shared" si="32"/>
        <v>0.49999902037809485</v>
      </c>
      <c r="H492" s="62">
        <v>176807</v>
      </c>
      <c r="I492" s="63">
        <f t="shared" si="33"/>
        <v>89320.17499999999</v>
      </c>
      <c r="J492" s="63">
        <f t="shared" si="34"/>
        <v>141445.6</v>
      </c>
      <c r="K492" s="172">
        <f t="shared" si="35"/>
        <v>89320</v>
      </c>
      <c r="L492" s="156"/>
      <c r="M492" s="173"/>
      <c r="N492" s="173"/>
      <c r="O492" s="190"/>
      <c r="P492" s="13"/>
    </row>
    <row r="493" spans="1:16" ht="15.75">
      <c r="A493" s="13">
        <v>487</v>
      </c>
      <c r="B493" s="85">
        <v>580470771</v>
      </c>
      <c r="C493" s="61" t="s">
        <v>206</v>
      </c>
      <c r="D493" s="61" t="s">
        <v>60</v>
      </c>
      <c r="E493" s="53">
        <v>131718.75</v>
      </c>
      <c r="F493" s="53">
        <v>65859</v>
      </c>
      <c r="G493" s="54">
        <f t="shared" si="32"/>
        <v>0.49999715302491105</v>
      </c>
      <c r="H493" s="62">
        <v>138084</v>
      </c>
      <c r="I493" s="63">
        <f t="shared" si="33"/>
        <v>92203.125</v>
      </c>
      <c r="J493" s="63">
        <f t="shared" si="34"/>
        <v>110467.20000000001</v>
      </c>
      <c r="K493" s="172">
        <f t="shared" si="35"/>
        <v>92203</v>
      </c>
      <c r="L493" s="156"/>
      <c r="M493" s="173"/>
      <c r="N493" s="173"/>
      <c r="O493" s="190"/>
      <c r="P493" s="13"/>
    </row>
    <row r="494" spans="1:16" ht="15.75">
      <c r="A494">
        <v>488</v>
      </c>
      <c r="B494" s="60">
        <v>580471704</v>
      </c>
      <c r="C494" s="61" t="s">
        <v>207</v>
      </c>
      <c r="D494" s="65" t="s">
        <v>63</v>
      </c>
      <c r="E494" s="53">
        <v>61673.25</v>
      </c>
      <c r="F494" s="53">
        <v>30837</v>
      </c>
      <c r="G494" s="54">
        <f t="shared" si="32"/>
        <v>0.5000060804319539</v>
      </c>
      <c r="H494" s="62">
        <v>44092</v>
      </c>
      <c r="I494" s="63">
        <f t="shared" si="33"/>
        <v>43171.274999999994</v>
      </c>
      <c r="J494" s="63">
        <f t="shared" si="34"/>
        <v>35273.6</v>
      </c>
      <c r="K494" s="172">
        <f t="shared" si="35"/>
        <v>35274</v>
      </c>
      <c r="L494" s="156"/>
      <c r="M494" s="173"/>
      <c r="N494" s="173"/>
      <c r="O494" s="190"/>
      <c r="P494" s="13"/>
    </row>
    <row r="495" spans="1:16" ht="15">
      <c r="A495" s="13">
        <v>489</v>
      </c>
      <c r="B495" s="89">
        <v>580472736</v>
      </c>
      <c r="C495" s="89" t="s">
        <v>615</v>
      </c>
      <c r="D495" s="90" t="s">
        <v>63</v>
      </c>
      <c r="E495" s="53">
        <v>259257.75</v>
      </c>
      <c r="F495" s="53">
        <v>129629</v>
      </c>
      <c r="G495" s="54">
        <f t="shared" si="32"/>
        <v>0.500000482145664</v>
      </c>
      <c r="H495" s="62">
        <v>271862</v>
      </c>
      <c r="I495" s="63">
        <f t="shared" si="33"/>
        <v>181480.425</v>
      </c>
      <c r="J495" s="63">
        <f t="shared" si="34"/>
        <v>217489.6</v>
      </c>
      <c r="K495" s="172">
        <f t="shared" si="35"/>
        <v>181480</v>
      </c>
      <c r="L495" s="156"/>
      <c r="M495" s="173"/>
      <c r="N495" s="173"/>
      <c r="O495" s="190"/>
      <c r="P495" s="13"/>
    </row>
    <row r="496" spans="1:16" ht="15">
      <c r="A496">
        <v>490</v>
      </c>
      <c r="B496" s="89">
        <v>580472751</v>
      </c>
      <c r="C496" s="90" t="s">
        <v>394</v>
      </c>
      <c r="D496" s="90" t="s">
        <v>72</v>
      </c>
      <c r="E496" s="53">
        <v>253039.5</v>
      </c>
      <c r="F496" s="53">
        <v>126520</v>
      </c>
      <c r="G496" s="54">
        <f t="shared" si="32"/>
        <v>0.5000009879880414</v>
      </c>
      <c r="H496" s="62">
        <v>165180</v>
      </c>
      <c r="I496" s="63">
        <f t="shared" si="33"/>
        <v>177127.65</v>
      </c>
      <c r="J496" s="63">
        <f t="shared" si="34"/>
        <v>132144</v>
      </c>
      <c r="K496" s="172">
        <f t="shared" si="35"/>
        <v>132144</v>
      </c>
      <c r="L496" s="156"/>
      <c r="M496" s="173"/>
      <c r="N496" s="173"/>
      <c r="O496" s="190"/>
      <c r="P496" s="13"/>
    </row>
    <row r="497" spans="1:16" ht="15">
      <c r="A497" s="13">
        <v>491</v>
      </c>
      <c r="B497" s="89">
        <v>580475093</v>
      </c>
      <c r="C497" s="89" t="s">
        <v>537</v>
      </c>
      <c r="D497" s="90" t="s">
        <v>68</v>
      </c>
      <c r="E497" s="53">
        <v>50499</v>
      </c>
      <c r="F497" s="53">
        <v>25250</v>
      </c>
      <c r="G497" s="54">
        <f t="shared" si="32"/>
        <v>0.5000099011861621</v>
      </c>
      <c r="H497" s="62">
        <v>37714</v>
      </c>
      <c r="I497" s="63">
        <f t="shared" si="33"/>
        <v>35349.299999999996</v>
      </c>
      <c r="J497" s="63">
        <f t="shared" si="34"/>
        <v>30171.2</v>
      </c>
      <c r="K497" s="172">
        <f t="shared" si="35"/>
        <v>30171</v>
      </c>
      <c r="L497" s="156"/>
      <c r="M497" s="173"/>
      <c r="N497" s="173"/>
      <c r="O497" s="190"/>
      <c r="P497" s="13"/>
    </row>
    <row r="498" spans="1:16" ht="15.75">
      <c r="A498">
        <v>492</v>
      </c>
      <c r="B498" s="60">
        <v>580475465</v>
      </c>
      <c r="C498" s="61" t="s">
        <v>464</v>
      </c>
      <c r="D498" s="65" t="s">
        <v>63</v>
      </c>
      <c r="E498" s="53">
        <v>190250</v>
      </c>
      <c r="F498" s="53">
        <v>95125</v>
      </c>
      <c r="G498" s="54">
        <f t="shared" si="32"/>
        <v>0.5</v>
      </c>
      <c r="H498" s="62">
        <v>227281</v>
      </c>
      <c r="I498" s="63">
        <f t="shared" si="33"/>
        <v>133175</v>
      </c>
      <c r="J498" s="63">
        <f t="shared" si="34"/>
        <v>181824.80000000002</v>
      </c>
      <c r="K498" s="172">
        <f t="shared" si="35"/>
        <v>133175</v>
      </c>
      <c r="L498" s="156"/>
      <c r="M498" s="173"/>
      <c r="N498" s="173"/>
      <c r="O498" s="190"/>
      <c r="P498" s="13"/>
    </row>
    <row r="499" spans="1:16" ht="15.75">
      <c r="A499" s="13">
        <v>493</v>
      </c>
      <c r="B499" s="101">
        <v>580476059</v>
      </c>
      <c r="C499" s="103" t="s">
        <v>672</v>
      </c>
      <c r="D499" s="104" t="s">
        <v>63</v>
      </c>
      <c r="E499" s="53">
        <v>166095.75</v>
      </c>
      <c r="F499" s="53">
        <v>83048</v>
      </c>
      <c r="G499" s="54">
        <f t="shared" si="32"/>
        <v>0.5000007525779558</v>
      </c>
      <c r="H499" s="62">
        <v>196615</v>
      </c>
      <c r="I499" s="63">
        <f t="shared" si="33"/>
        <v>116267.025</v>
      </c>
      <c r="J499" s="63">
        <f t="shared" si="34"/>
        <v>157292</v>
      </c>
      <c r="K499" s="172">
        <f t="shared" si="35"/>
        <v>116267</v>
      </c>
      <c r="L499" s="156"/>
      <c r="M499" s="173"/>
      <c r="N499" s="173"/>
      <c r="O499" s="190"/>
      <c r="P499" s="13"/>
    </row>
    <row r="500" spans="1:16" ht="15.75">
      <c r="A500">
        <v>494</v>
      </c>
      <c r="B500" s="60">
        <v>580476075</v>
      </c>
      <c r="C500" s="61" t="s">
        <v>538</v>
      </c>
      <c r="D500" s="65" t="s">
        <v>63</v>
      </c>
      <c r="E500" s="53">
        <v>46848.600000000006</v>
      </c>
      <c r="F500" s="53">
        <v>18739</v>
      </c>
      <c r="G500" s="54">
        <f t="shared" si="32"/>
        <v>0.39999060804378356</v>
      </c>
      <c r="H500" s="62">
        <v>134768</v>
      </c>
      <c r="I500" s="63">
        <f t="shared" si="33"/>
        <v>32794.020000000004</v>
      </c>
      <c r="J500" s="63">
        <f t="shared" si="34"/>
        <v>107814.40000000001</v>
      </c>
      <c r="K500" s="172">
        <f t="shared" si="35"/>
        <v>32794</v>
      </c>
      <c r="L500" s="156"/>
      <c r="M500" s="173"/>
      <c r="N500" s="173"/>
      <c r="O500" s="190"/>
      <c r="P500" s="13"/>
    </row>
    <row r="501" spans="1:16" ht="15.75">
      <c r="A501" s="13">
        <v>495</v>
      </c>
      <c r="B501" s="85">
        <v>580476703</v>
      </c>
      <c r="C501" s="60" t="s">
        <v>648</v>
      </c>
      <c r="D501" s="61" t="s">
        <v>74</v>
      </c>
      <c r="E501" s="53">
        <v>23128</v>
      </c>
      <c r="F501" s="53">
        <v>11564</v>
      </c>
      <c r="G501" s="54">
        <f t="shared" si="32"/>
        <v>0.5</v>
      </c>
      <c r="H501" s="62">
        <v>27407</v>
      </c>
      <c r="I501" s="63">
        <f t="shared" si="33"/>
        <v>16189.599999999999</v>
      </c>
      <c r="J501" s="63">
        <f t="shared" si="34"/>
        <v>21925.600000000002</v>
      </c>
      <c r="K501" s="172">
        <f t="shared" si="35"/>
        <v>16190</v>
      </c>
      <c r="L501" s="156"/>
      <c r="M501" s="173"/>
      <c r="N501" s="173"/>
      <c r="O501" s="190"/>
      <c r="P501" s="13"/>
    </row>
    <row r="502" spans="1:16" ht="15">
      <c r="A502">
        <v>496</v>
      </c>
      <c r="B502" s="16">
        <v>580477065</v>
      </c>
      <c r="C502" s="16" t="s">
        <v>573</v>
      </c>
      <c r="D502" s="16" t="s">
        <v>94</v>
      </c>
      <c r="E502" s="53">
        <v>78370.5</v>
      </c>
      <c r="F502" s="53">
        <v>31348</v>
      </c>
      <c r="G502" s="54">
        <f t="shared" si="32"/>
        <v>0.399997448019344</v>
      </c>
      <c r="H502" s="62">
        <v>92871</v>
      </c>
      <c r="I502" s="63">
        <f t="shared" si="33"/>
        <v>54859.35</v>
      </c>
      <c r="J502" s="63">
        <f t="shared" si="34"/>
        <v>74296.8</v>
      </c>
      <c r="K502" s="172">
        <f t="shared" si="35"/>
        <v>54859</v>
      </c>
      <c r="L502" s="156"/>
      <c r="M502" s="173"/>
      <c r="N502" s="173"/>
      <c r="O502" s="190"/>
      <c r="P502" s="13"/>
    </row>
    <row r="503" spans="1:16" ht="15.75">
      <c r="A503" s="13">
        <v>497</v>
      </c>
      <c r="B503" s="60">
        <v>580477958</v>
      </c>
      <c r="C503" s="153" t="s">
        <v>729</v>
      </c>
      <c r="D503" s="16" t="s">
        <v>68</v>
      </c>
      <c r="E503" s="53">
        <v>126361.5</v>
      </c>
      <c r="F503" s="53">
        <v>63181</v>
      </c>
      <c r="G503" s="54">
        <f t="shared" si="32"/>
        <v>0.5000019784507148</v>
      </c>
      <c r="H503" s="62">
        <v>131451</v>
      </c>
      <c r="I503" s="63">
        <f t="shared" si="33"/>
        <v>88453.04999999999</v>
      </c>
      <c r="J503" s="63">
        <f t="shared" si="34"/>
        <v>105160.8</v>
      </c>
      <c r="K503" s="172">
        <f t="shared" si="35"/>
        <v>88453</v>
      </c>
      <c r="L503" s="156"/>
      <c r="M503" s="173"/>
      <c r="N503" s="173"/>
      <c r="O503" s="190"/>
      <c r="P503" s="13"/>
    </row>
    <row r="504" spans="1:16" ht="15">
      <c r="A504">
        <v>498</v>
      </c>
      <c r="B504" s="90">
        <v>580479749</v>
      </c>
      <c r="C504" s="90" t="s">
        <v>395</v>
      </c>
      <c r="D504" s="90" t="s">
        <v>94</v>
      </c>
      <c r="E504" s="53">
        <v>83967.75</v>
      </c>
      <c r="F504" s="53">
        <v>41984</v>
      </c>
      <c r="G504" s="54">
        <f t="shared" si="32"/>
        <v>0.5000014886667798</v>
      </c>
      <c r="H504" s="62">
        <v>78207</v>
      </c>
      <c r="I504" s="63">
        <f t="shared" si="33"/>
        <v>58777.424999999996</v>
      </c>
      <c r="J504" s="63">
        <f t="shared" si="34"/>
        <v>62565.600000000006</v>
      </c>
      <c r="K504" s="172">
        <f t="shared" si="35"/>
        <v>58777</v>
      </c>
      <c r="L504" s="156"/>
      <c r="M504" s="173"/>
      <c r="N504" s="173"/>
      <c r="O504" s="190"/>
      <c r="P504" s="13"/>
    </row>
    <row r="505" spans="1:16" ht="15.75">
      <c r="A505" s="13">
        <v>499</v>
      </c>
      <c r="B505" s="60">
        <v>580480200</v>
      </c>
      <c r="C505" s="153" t="s">
        <v>730</v>
      </c>
      <c r="D505" s="16" t="s">
        <v>60</v>
      </c>
      <c r="E505" s="53">
        <v>12637.5</v>
      </c>
      <c r="F505" s="53">
        <v>6319</v>
      </c>
      <c r="G505" s="54">
        <f t="shared" si="32"/>
        <v>0.5000197823936696</v>
      </c>
      <c r="H505" s="62">
        <v>8693</v>
      </c>
      <c r="I505" s="63">
        <f t="shared" si="33"/>
        <v>8846.25</v>
      </c>
      <c r="J505" s="63">
        <f t="shared" si="34"/>
        <v>6954.400000000001</v>
      </c>
      <c r="K505" s="172">
        <f t="shared" si="35"/>
        <v>6954</v>
      </c>
      <c r="L505" s="156"/>
      <c r="M505" s="173"/>
      <c r="N505" s="173"/>
      <c r="O505" s="190"/>
      <c r="P505" s="13"/>
    </row>
    <row r="506" spans="1:16" ht="15.75">
      <c r="A506">
        <v>500</v>
      </c>
      <c r="B506" s="60">
        <v>580480978</v>
      </c>
      <c r="C506" s="61" t="s">
        <v>208</v>
      </c>
      <c r="D506" s="65" t="s">
        <v>63</v>
      </c>
      <c r="E506" s="53">
        <v>158066.75</v>
      </c>
      <c r="F506" s="53">
        <v>79033</v>
      </c>
      <c r="G506" s="54">
        <f t="shared" si="32"/>
        <v>0.4999976275845489</v>
      </c>
      <c r="H506" s="62">
        <v>172998</v>
      </c>
      <c r="I506" s="63">
        <f t="shared" si="33"/>
        <v>110646.72499999999</v>
      </c>
      <c r="J506" s="63">
        <f t="shared" si="34"/>
        <v>138398.4</v>
      </c>
      <c r="K506" s="172">
        <f t="shared" si="35"/>
        <v>110647</v>
      </c>
      <c r="L506" s="156"/>
      <c r="M506" s="173"/>
      <c r="N506" s="173"/>
      <c r="O506" s="190"/>
      <c r="P506" s="13"/>
    </row>
    <row r="507" spans="1:16" ht="15.75">
      <c r="A507" s="13">
        <v>501</v>
      </c>
      <c r="B507" s="60">
        <v>580481232</v>
      </c>
      <c r="C507" s="61" t="s">
        <v>396</v>
      </c>
      <c r="D507" s="65" t="s">
        <v>63</v>
      </c>
      <c r="E507" s="53">
        <v>365732.75</v>
      </c>
      <c r="F507" s="53">
        <v>182866</v>
      </c>
      <c r="G507" s="54">
        <f t="shared" si="32"/>
        <v>0.49999897466114257</v>
      </c>
      <c r="H507" s="62">
        <v>368817</v>
      </c>
      <c r="I507" s="63">
        <f t="shared" si="33"/>
        <v>256012.925</v>
      </c>
      <c r="J507" s="63">
        <f t="shared" si="34"/>
        <v>295053.60000000003</v>
      </c>
      <c r="K507" s="172">
        <f t="shared" si="35"/>
        <v>256013</v>
      </c>
      <c r="L507" s="156"/>
      <c r="M507" s="173"/>
      <c r="N507" s="173"/>
      <c r="O507" s="190"/>
      <c r="P507" s="13"/>
    </row>
    <row r="508" spans="1:16" ht="15.75">
      <c r="A508">
        <v>502</v>
      </c>
      <c r="B508" s="60">
        <v>580481455</v>
      </c>
      <c r="C508" s="61" t="s">
        <v>574</v>
      </c>
      <c r="D508" s="65" t="s">
        <v>63</v>
      </c>
      <c r="E508" s="53">
        <v>87788.25</v>
      </c>
      <c r="F508" s="53">
        <v>43894</v>
      </c>
      <c r="G508" s="54">
        <f t="shared" si="32"/>
        <v>0.4999985761192415</v>
      </c>
      <c r="H508" s="62">
        <v>125690</v>
      </c>
      <c r="I508" s="63">
        <f t="shared" si="33"/>
        <v>61451.774999999994</v>
      </c>
      <c r="J508" s="63">
        <f t="shared" si="34"/>
        <v>100552</v>
      </c>
      <c r="K508" s="172">
        <f t="shared" si="35"/>
        <v>61452</v>
      </c>
      <c r="L508" s="156"/>
      <c r="M508" s="173"/>
      <c r="N508" s="173"/>
      <c r="O508" s="190"/>
      <c r="P508" s="13"/>
    </row>
    <row r="509" spans="1:16" ht="15.75">
      <c r="A509" s="13">
        <v>503</v>
      </c>
      <c r="B509" s="60">
        <v>580481935</v>
      </c>
      <c r="C509" s="61" t="s">
        <v>539</v>
      </c>
      <c r="D509" s="65" t="s">
        <v>63</v>
      </c>
      <c r="E509" s="53">
        <v>42481.5</v>
      </c>
      <c r="F509" s="53">
        <v>16993</v>
      </c>
      <c r="G509" s="54">
        <f t="shared" si="32"/>
        <v>0.40000941586337585</v>
      </c>
      <c r="H509" s="62">
        <v>105456</v>
      </c>
      <c r="I509" s="63">
        <f t="shared" si="33"/>
        <v>29737.05</v>
      </c>
      <c r="J509" s="63">
        <f t="shared" si="34"/>
        <v>84364.8</v>
      </c>
      <c r="K509" s="172">
        <f t="shared" si="35"/>
        <v>29737</v>
      </c>
      <c r="L509" s="156"/>
      <c r="M509" s="173"/>
      <c r="N509" s="173"/>
      <c r="O509" s="190"/>
      <c r="P509" s="13"/>
    </row>
    <row r="510" spans="1:16" ht="15.75">
      <c r="A510">
        <v>504</v>
      </c>
      <c r="B510" s="60">
        <v>580482040</v>
      </c>
      <c r="C510" s="60" t="s">
        <v>649</v>
      </c>
      <c r="D510" s="61" t="s">
        <v>63</v>
      </c>
      <c r="E510" s="53">
        <v>309115.25</v>
      </c>
      <c r="F510" s="53">
        <v>154558</v>
      </c>
      <c r="G510" s="54">
        <f t="shared" si="32"/>
        <v>0.5000012131397593</v>
      </c>
      <c r="H510" s="62">
        <v>303116</v>
      </c>
      <c r="I510" s="63">
        <f t="shared" si="33"/>
        <v>216380.675</v>
      </c>
      <c r="J510" s="63">
        <f t="shared" si="34"/>
        <v>242492.80000000002</v>
      </c>
      <c r="K510" s="172">
        <f t="shared" si="35"/>
        <v>216381</v>
      </c>
      <c r="L510" s="156"/>
      <c r="M510" s="173"/>
      <c r="N510" s="173"/>
      <c r="O510" s="190"/>
      <c r="P510" s="13"/>
    </row>
    <row r="511" spans="1:16" ht="15">
      <c r="A511" s="13">
        <v>505</v>
      </c>
      <c r="B511" s="89">
        <v>580482115</v>
      </c>
      <c r="C511" s="90" t="s">
        <v>397</v>
      </c>
      <c r="D511" s="90" t="s">
        <v>72</v>
      </c>
      <c r="E511" s="53">
        <v>29940.75</v>
      </c>
      <c r="F511" s="53">
        <v>14970</v>
      </c>
      <c r="G511" s="54">
        <f t="shared" si="32"/>
        <v>0.4999874752636457</v>
      </c>
      <c r="H511" s="62">
        <v>20316</v>
      </c>
      <c r="I511" s="63">
        <f t="shared" si="33"/>
        <v>20958.524999999998</v>
      </c>
      <c r="J511" s="63">
        <f t="shared" si="34"/>
        <v>16252.800000000001</v>
      </c>
      <c r="K511" s="172">
        <f t="shared" si="35"/>
        <v>16253</v>
      </c>
      <c r="L511" s="156"/>
      <c r="M511" s="173"/>
      <c r="N511" s="173"/>
      <c r="O511" s="190"/>
      <c r="P511" s="13"/>
    </row>
    <row r="512" spans="1:16" ht="15.75">
      <c r="A512">
        <v>506</v>
      </c>
      <c r="B512" s="87">
        <v>580482305</v>
      </c>
      <c r="C512" s="61" t="s">
        <v>540</v>
      </c>
      <c r="D512" s="61" t="s">
        <v>68</v>
      </c>
      <c r="E512" s="53">
        <v>53516.75</v>
      </c>
      <c r="F512" s="53">
        <v>21407</v>
      </c>
      <c r="G512" s="54">
        <f t="shared" si="32"/>
        <v>0.4000056057215732</v>
      </c>
      <c r="H512" s="62">
        <v>36242</v>
      </c>
      <c r="I512" s="63">
        <f t="shared" si="33"/>
        <v>37461.725</v>
      </c>
      <c r="J512" s="63">
        <f t="shared" si="34"/>
        <v>28993.600000000002</v>
      </c>
      <c r="K512" s="172">
        <f t="shared" si="35"/>
        <v>28994</v>
      </c>
      <c r="L512" s="156"/>
      <c r="M512" s="173"/>
      <c r="N512" s="173"/>
      <c r="O512" s="190"/>
      <c r="P512" s="13"/>
    </row>
    <row r="513" spans="1:16" ht="15.75">
      <c r="A513" s="13">
        <v>507</v>
      </c>
      <c r="B513" s="60">
        <v>580483832</v>
      </c>
      <c r="C513" s="61" t="s">
        <v>465</v>
      </c>
      <c r="D513" s="61" t="s">
        <v>60</v>
      </c>
      <c r="E513" s="53">
        <v>21708.75</v>
      </c>
      <c r="F513" s="53">
        <v>10854</v>
      </c>
      <c r="G513" s="54">
        <f aca="true" t="shared" si="36" ref="G513:G576">F513/E513</f>
        <v>0.4999827258593885</v>
      </c>
      <c r="H513" s="62">
        <v>17511</v>
      </c>
      <c r="I513" s="63">
        <f t="shared" si="33"/>
        <v>15196.124999999998</v>
      </c>
      <c r="J513" s="63">
        <f t="shared" si="34"/>
        <v>14008.800000000001</v>
      </c>
      <c r="K513" s="172">
        <f t="shared" si="35"/>
        <v>14009</v>
      </c>
      <c r="L513" s="156"/>
      <c r="M513" s="173"/>
      <c r="N513" s="173"/>
      <c r="O513" s="190"/>
      <c r="P513" s="13"/>
    </row>
    <row r="514" spans="1:16" ht="15">
      <c r="A514">
        <v>508</v>
      </c>
      <c r="B514" s="66">
        <v>580484582</v>
      </c>
      <c r="C514" s="16" t="s">
        <v>209</v>
      </c>
      <c r="D514" s="16" t="s">
        <v>72</v>
      </c>
      <c r="E514" s="53">
        <v>60228</v>
      </c>
      <c r="F514" s="53">
        <v>30114</v>
      </c>
      <c r="G514" s="54">
        <f t="shared" si="36"/>
        <v>0.5</v>
      </c>
      <c r="H514" s="62">
        <v>30097</v>
      </c>
      <c r="I514" s="63">
        <f t="shared" si="33"/>
        <v>42159.6</v>
      </c>
      <c r="J514" s="63">
        <f t="shared" si="34"/>
        <v>24077.600000000002</v>
      </c>
      <c r="K514" s="172">
        <f t="shared" si="35"/>
        <v>0</v>
      </c>
      <c r="L514" s="156"/>
      <c r="M514" s="173"/>
      <c r="N514" s="173"/>
      <c r="O514" s="190"/>
      <c r="P514" s="13"/>
    </row>
    <row r="515" spans="1:16" ht="15.75">
      <c r="A515" s="13">
        <v>509</v>
      </c>
      <c r="B515" s="101">
        <v>580486223</v>
      </c>
      <c r="C515" s="102" t="s">
        <v>673</v>
      </c>
      <c r="D515" s="102" t="s">
        <v>72</v>
      </c>
      <c r="E515" s="53">
        <v>252398.75</v>
      </c>
      <c r="F515" s="53">
        <v>126199</v>
      </c>
      <c r="G515" s="54">
        <f t="shared" si="36"/>
        <v>0.4999985142557164</v>
      </c>
      <c r="H515" s="62">
        <v>255113</v>
      </c>
      <c r="I515" s="63">
        <f t="shared" si="33"/>
        <v>176679.125</v>
      </c>
      <c r="J515" s="63">
        <f t="shared" si="34"/>
        <v>204090.40000000002</v>
      </c>
      <c r="K515" s="172">
        <f t="shared" si="35"/>
        <v>176679</v>
      </c>
      <c r="L515" s="156"/>
      <c r="M515" s="173"/>
      <c r="N515" s="173"/>
      <c r="O515" s="190"/>
      <c r="P515" s="13"/>
    </row>
    <row r="516" spans="1:16" ht="15.75">
      <c r="A516">
        <v>510</v>
      </c>
      <c r="B516" s="60">
        <v>580487254</v>
      </c>
      <c r="C516" s="61" t="s">
        <v>300</v>
      </c>
      <c r="D516" s="65" t="s">
        <v>63</v>
      </c>
      <c r="E516" s="53">
        <v>207336.25</v>
      </c>
      <c r="F516" s="53">
        <v>103668</v>
      </c>
      <c r="G516" s="54">
        <f t="shared" si="36"/>
        <v>0.4999993971145904</v>
      </c>
      <c r="H516" s="62">
        <v>167260</v>
      </c>
      <c r="I516" s="63">
        <f t="shared" si="33"/>
        <v>145135.375</v>
      </c>
      <c r="J516" s="63">
        <f t="shared" si="34"/>
        <v>133808</v>
      </c>
      <c r="K516" s="172">
        <f t="shared" si="35"/>
        <v>133808</v>
      </c>
      <c r="L516" s="156"/>
      <c r="M516" s="173"/>
      <c r="N516" s="173"/>
      <c r="O516" s="190"/>
      <c r="P516" s="13"/>
    </row>
    <row r="517" spans="1:16" ht="15.75">
      <c r="A517" s="13">
        <v>511</v>
      </c>
      <c r="B517" s="85">
        <v>580487973</v>
      </c>
      <c r="C517" s="61" t="s">
        <v>606</v>
      </c>
      <c r="D517" s="61" t="s">
        <v>60</v>
      </c>
      <c r="E517" s="53">
        <v>106501</v>
      </c>
      <c r="F517" s="53">
        <v>53251</v>
      </c>
      <c r="G517" s="54">
        <f t="shared" si="36"/>
        <v>0.5000046947915981</v>
      </c>
      <c r="H517" s="62">
        <v>125690</v>
      </c>
      <c r="I517" s="63">
        <f aca="true" t="shared" si="37" ref="I517:I580">E517*$I$2</f>
        <v>74550.7</v>
      </c>
      <c r="J517" s="63">
        <f aca="true" t="shared" si="38" ref="J517:J580">H517*$J$2</f>
        <v>100552</v>
      </c>
      <c r="K517" s="172">
        <f aca="true" t="shared" si="39" ref="K517:K580">ROUND(IF(IF(MIN(I517,J517)&lt;F517,MIN(I517,J517)-F517,MIN(I517,J517))&lt;0,0,IF(MIN(I517,J517)&lt;F517,MIN(I517,J517)-F517,MIN(I517,J517))),0)</f>
        <v>74551</v>
      </c>
      <c r="L517" s="156"/>
      <c r="M517" s="173"/>
      <c r="N517" s="173"/>
      <c r="O517" s="190"/>
      <c r="P517" s="13"/>
    </row>
    <row r="518" spans="1:16" ht="15.75">
      <c r="A518">
        <v>512</v>
      </c>
      <c r="B518" s="60">
        <v>580488294</v>
      </c>
      <c r="C518" s="61" t="s">
        <v>708</v>
      </c>
      <c r="D518" s="61" t="s">
        <v>60</v>
      </c>
      <c r="E518" s="53">
        <v>165164.25</v>
      </c>
      <c r="F518" s="53">
        <v>82582</v>
      </c>
      <c r="G518" s="54">
        <f t="shared" si="36"/>
        <v>0.4999992431776247</v>
      </c>
      <c r="H518" s="62">
        <v>128500</v>
      </c>
      <c r="I518" s="63">
        <f t="shared" si="37"/>
        <v>115614.97499999999</v>
      </c>
      <c r="J518" s="63">
        <f t="shared" si="38"/>
        <v>102800</v>
      </c>
      <c r="K518" s="172">
        <f t="shared" si="39"/>
        <v>102800</v>
      </c>
      <c r="L518" s="156"/>
      <c r="M518" s="173"/>
      <c r="N518" s="173"/>
      <c r="O518" s="190"/>
      <c r="P518" s="13"/>
    </row>
    <row r="519" spans="1:16" ht="15.75">
      <c r="A519" s="13">
        <v>513</v>
      </c>
      <c r="B519" s="67">
        <v>580488435</v>
      </c>
      <c r="C519" s="67" t="s">
        <v>210</v>
      </c>
      <c r="D519" s="67" t="s">
        <v>74</v>
      </c>
      <c r="E519" s="53">
        <v>20171</v>
      </c>
      <c r="F519" s="53">
        <v>6742</v>
      </c>
      <c r="G519" s="54">
        <f t="shared" si="36"/>
        <v>0.3342422289425413</v>
      </c>
      <c r="H519" s="62">
        <v>16481</v>
      </c>
      <c r="I519" s="63">
        <f t="shared" si="37"/>
        <v>14119.699999999999</v>
      </c>
      <c r="J519" s="63">
        <f t="shared" si="38"/>
        <v>13184.800000000001</v>
      </c>
      <c r="K519" s="172">
        <f t="shared" si="39"/>
        <v>13185</v>
      </c>
      <c r="L519" s="156"/>
      <c r="M519" s="173"/>
      <c r="N519" s="173"/>
      <c r="O519" s="190"/>
      <c r="P519" s="13"/>
    </row>
    <row r="520" spans="1:16" ht="15.75">
      <c r="A520">
        <v>514</v>
      </c>
      <c r="B520" s="60">
        <v>580488948</v>
      </c>
      <c r="C520" s="61" t="s">
        <v>398</v>
      </c>
      <c r="D520" s="65" t="s">
        <v>63</v>
      </c>
      <c r="E520" s="53">
        <v>199597</v>
      </c>
      <c r="F520" s="53">
        <v>99799</v>
      </c>
      <c r="G520" s="54">
        <f t="shared" si="36"/>
        <v>0.5000025050476711</v>
      </c>
      <c r="H520" s="62">
        <v>240644</v>
      </c>
      <c r="I520" s="63">
        <f t="shared" si="37"/>
        <v>139717.9</v>
      </c>
      <c r="J520" s="63">
        <f t="shared" si="38"/>
        <v>192515.2</v>
      </c>
      <c r="K520" s="172">
        <f t="shared" si="39"/>
        <v>139718</v>
      </c>
      <c r="L520" s="156"/>
      <c r="M520" s="173"/>
      <c r="N520" s="173"/>
      <c r="O520" s="190"/>
      <c r="P520" s="13"/>
    </row>
    <row r="521" spans="1:16" ht="15.75">
      <c r="A521" s="13">
        <v>515</v>
      </c>
      <c r="B521" s="60">
        <v>580489391</v>
      </c>
      <c r="C521" s="61" t="s">
        <v>211</v>
      </c>
      <c r="D521" s="61" t="s">
        <v>60</v>
      </c>
      <c r="E521" s="53">
        <v>126394</v>
      </c>
      <c r="F521" s="53">
        <v>63197</v>
      </c>
      <c r="G521" s="54">
        <f t="shared" si="36"/>
        <v>0.5</v>
      </c>
      <c r="H521" s="62">
        <v>147511</v>
      </c>
      <c r="I521" s="63">
        <f t="shared" si="37"/>
        <v>88475.79999999999</v>
      </c>
      <c r="J521" s="63">
        <f t="shared" si="38"/>
        <v>118008.8</v>
      </c>
      <c r="K521" s="172">
        <f t="shared" si="39"/>
        <v>88476</v>
      </c>
      <c r="L521" s="156"/>
      <c r="M521" s="173"/>
      <c r="N521" s="173"/>
      <c r="O521" s="190"/>
      <c r="P521" s="13"/>
    </row>
    <row r="522" spans="1:16" ht="15">
      <c r="A522">
        <v>516</v>
      </c>
      <c r="B522" s="66">
        <v>580489953</v>
      </c>
      <c r="C522" s="16" t="s">
        <v>301</v>
      </c>
      <c r="D522" s="16" t="s">
        <v>72</v>
      </c>
      <c r="E522" s="53">
        <v>1483.25</v>
      </c>
      <c r="F522" s="53">
        <v>742</v>
      </c>
      <c r="G522" s="54">
        <f t="shared" si="36"/>
        <v>0.5002528231923141</v>
      </c>
      <c r="H522" s="62">
        <v>1388</v>
      </c>
      <c r="I522" s="63">
        <f t="shared" si="37"/>
        <v>1038.2749999999999</v>
      </c>
      <c r="J522" s="63">
        <f t="shared" si="38"/>
        <v>1110.4</v>
      </c>
      <c r="K522" s="172">
        <f t="shared" si="39"/>
        <v>1038</v>
      </c>
      <c r="L522" s="156"/>
      <c r="M522" s="173"/>
      <c r="N522" s="173"/>
      <c r="O522" s="190"/>
      <c r="P522" s="13"/>
    </row>
    <row r="523" spans="1:16" ht="15.75">
      <c r="A523" s="13">
        <v>517</v>
      </c>
      <c r="B523" s="61">
        <v>580490860</v>
      </c>
      <c r="C523" s="61" t="s">
        <v>466</v>
      </c>
      <c r="D523" s="61" t="s">
        <v>74</v>
      </c>
      <c r="E523" s="53">
        <v>123115</v>
      </c>
      <c r="F523" s="53">
        <v>61558</v>
      </c>
      <c r="G523" s="54">
        <f t="shared" si="36"/>
        <v>0.5000040612435528</v>
      </c>
      <c r="H523" s="62">
        <v>154231</v>
      </c>
      <c r="I523" s="63">
        <f t="shared" si="37"/>
        <v>86180.5</v>
      </c>
      <c r="J523" s="63">
        <f t="shared" si="38"/>
        <v>123384.8</v>
      </c>
      <c r="K523" s="172">
        <f t="shared" si="39"/>
        <v>86181</v>
      </c>
      <c r="L523" s="156"/>
      <c r="M523" s="173"/>
      <c r="N523" s="173"/>
      <c r="O523" s="190"/>
      <c r="P523" s="13"/>
    </row>
    <row r="524" spans="1:16" ht="15.75">
      <c r="A524">
        <v>518</v>
      </c>
      <c r="B524" s="60">
        <v>580491256</v>
      </c>
      <c r="C524" s="61" t="s">
        <v>541</v>
      </c>
      <c r="D524" s="65" t="s">
        <v>63</v>
      </c>
      <c r="E524" s="53">
        <v>274681</v>
      </c>
      <c r="F524" s="53">
        <v>137341</v>
      </c>
      <c r="G524" s="54">
        <f t="shared" si="36"/>
        <v>0.5000018202933585</v>
      </c>
      <c r="H524" s="62">
        <v>183720</v>
      </c>
      <c r="I524" s="63">
        <f t="shared" si="37"/>
        <v>192276.69999999998</v>
      </c>
      <c r="J524" s="63">
        <f t="shared" si="38"/>
        <v>146976</v>
      </c>
      <c r="K524" s="172">
        <f t="shared" si="39"/>
        <v>146976</v>
      </c>
      <c r="L524" s="156"/>
      <c r="M524" s="173"/>
      <c r="N524" s="173"/>
      <c r="O524" s="190"/>
      <c r="P524" s="13"/>
    </row>
    <row r="525" spans="1:16" ht="15.75">
      <c r="A525" s="13">
        <v>519</v>
      </c>
      <c r="B525" s="60">
        <v>580491496</v>
      </c>
      <c r="C525" s="61" t="s">
        <v>212</v>
      </c>
      <c r="D525" s="61" t="s">
        <v>60</v>
      </c>
      <c r="E525" s="53">
        <v>57361.25</v>
      </c>
      <c r="F525" s="53">
        <v>28681</v>
      </c>
      <c r="G525" s="54">
        <f t="shared" si="36"/>
        <v>0.500006537514437</v>
      </c>
      <c r="H525" s="62">
        <v>64142</v>
      </c>
      <c r="I525" s="63">
        <f t="shared" si="37"/>
        <v>40152.875</v>
      </c>
      <c r="J525" s="63">
        <f t="shared" si="38"/>
        <v>51313.600000000006</v>
      </c>
      <c r="K525" s="172">
        <f t="shared" si="39"/>
        <v>40153</v>
      </c>
      <c r="L525" s="156"/>
      <c r="M525" s="173"/>
      <c r="N525" s="173"/>
      <c r="O525" s="190"/>
      <c r="P525" s="13"/>
    </row>
    <row r="526" spans="1:16" ht="15.75">
      <c r="A526">
        <v>520</v>
      </c>
      <c r="B526" s="60">
        <v>580492965</v>
      </c>
      <c r="C526" s="61" t="s">
        <v>213</v>
      </c>
      <c r="D526" s="65" t="s">
        <v>63</v>
      </c>
      <c r="E526" s="53">
        <v>374366</v>
      </c>
      <c r="F526" s="53">
        <v>187183</v>
      </c>
      <c r="G526" s="54">
        <f t="shared" si="36"/>
        <v>0.5</v>
      </c>
      <c r="H526" s="62">
        <v>136812</v>
      </c>
      <c r="I526" s="63">
        <f t="shared" si="37"/>
        <v>262056.19999999998</v>
      </c>
      <c r="J526" s="63">
        <f t="shared" si="38"/>
        <v>109449.6</v>
      </c>
      <c r="K526" s="172">
        <f t="shared" si="39"/>
        <v>0</v>
      </c>
      <c r="L526" s="156"/>
      <c r="M526" s="173"/>
      <c r="N526" s="173"/>
      <c r="O526" s="190"/>
      <c r="P526" s="13"/>
    </row>
    <row r="527" spans="1:16" ht="15.75">
      <c r="A527" s="13">
        <v>521</v>
      </c>
      <c r="B527" s="60">
        <v>580493054</v>
      </c>
      <c r="C527" s="61" t="s">
        <v>709</v>
      </c>
      <c r="D527" s="65" t="s">
        <v>63</v>
      </c>
      <c r="E527" s="53">
        <v>275179</v>
      </c>
      <c r="F527" s="53">
        <v>110072</v>
      </c>
      <c r="G527" s="54">
        <f t="shared" si="36"/>
        <v>0.40000145359929357</v>
      </c>
      <c r="H527" s="62">
        <v>280952</v>
      </c>
      <c r="I527" s="63">
        <f t="shared" si="37"/>
        <v>192625.3</v>
      </c>
      <c r="J527" s="63">
        <f t="shared" si="38"/>
        <v>224761.6</v>
      </c>
      <c r="K527" s="172">
        <f t="shared" si="39"/>
        <v>192625</v>
      </c>
      <c r="L527" s="156"/>
      <c r="M527" s="173"/>
      <c r="N527" s="173"/>
      <c r="O527" s="190"/>
      <c r="P527" s="13"/>
    </row>
    <row r="528" spans="1:16" ht="15.75">
      <c r="A528">
        <v>522</v>
      </c>
      <c r="B528" s="60">
        <v>580493062</v>
      </c>
      <c r="C528" s="60" t="s">
        <v>650</v>
      </c>
      <c r="D528" s="61" t="s">
        <v>74</v>
      </c>
      <c r="E528" s="53">
        <v>216380</v>
      </c>
      <c r="F528" s="53">
        <v>108190</v>
      </c>
      <c r="G528" s="54">
        <f t="shared" si="36"/>
        <v>0.5</v>
      </c>
      <c r="H528" s="62">
        <v>154899</v>
      </c>
      <c r="I528" s="63">
        <f t="shared" si="37"/>
        <v>151466</v>
      </c>
      <c r="J528" s="63">
        <f t="shared" si="38"/>
        <v>123919.20000000001</v>
      </c>
      <c r="K528" s="172">
        <f t="shared" si="39"/>
        <v>123919</v>
      </c>
      <c r="L528" s="156"/>
      <c r="M528" s="173"/>
      <c r="N528" s="173"/>
      <c r="O528" s="190"/>
      <c r="P528" s="13"/>
    </row>
    <row r="529" spans="1:16" ht="15.75">
      <c r="A529" s="13">
        <v>523</v>
      </c>
      <c r="B529" s="60">
        <v>580495042</v>
      </c>
      <c r="C529" s="61" t="s">
        <v>542</v>
      </c>
      <c r="D529" s="65" t="s">
        <v>63</v>
      </c>
      <c r="E529" s="53">
        <v>175165</v>
      </c>
      <c r="F529" s="53">
        <v>87583</v>
      </c>
      <c r="G529" s="54">
        <f t="shared" si="36"/>
        <v>0.5000028544515172</v>
      </c>
      <c r="H529" s="62">
        <v>100552</v>
      </c>
      <c r="I529" s="63">
        <f t="shared" si="37"/>
        <v>122615.49999999999</v>
      </c>
      <c r="J529" s="63">
        <f t="shared" si="38"/>
        <v>80441.6</v>
      </c>
      <c r="K529" s="172">
        <f t="shared" si="39"/>
        <v>0</v>
      </c>
      <c r="L529" s="156"/>
      <c r="M529" s="173"/>
      <c r="N529" s="173"/>
      <c r="O529" s="190"/>
      <c r="P529" s="13"/>
    </row>
    <row r="530" spans="1:16" ht="15.75">
      <c r="A530">
        <v>524</v>
      </c>
      <c r="B530" s="60">
        <v>580495257</v>
      </c>
      <c r="C530" s="61" t="s">
        <v>543</v>
      </c>
      <c r="D530" s="65" t="s">
        <v>63</v>
      </c>
      <c r="E530" s="53">
        <v>159439.5</v>
      </c>
      <c r="F530" s="53">
        <v>63776</v>
      </c>
      <c r="G530" s="54">
        <f t="shared" si="36"/>
        <v>0.4000012543943</v>
      </c>
      <c r="H530" s="62">
        <v>120616</v>
      </c>
      <c r="I530" s="63">
        <f t="shared" si="37"/>
        <v>111607.65</v>
      </c>
      <c r="J530" s="63">
        <f t="shared" si="38"/>
        <v>96492.8</v>
      </c>
      <c r="K530" s="172">
        <f t="shared" si="39"/>
        <v>96493</v>
      </c>
      <c r="L530" s="156"/>
      <c r="M530" s="173"/>
      <c r="N530" s="173"/>
      <c r="O530" s="190"/>
      <c r="P530" s="13"/>
    </row>
    <row r="531" spans="1:16" ht="15.75">
      <c r="A531" s="13">
        <v>525</v>
      </c>
      <c r="B531" s="60">
        <v>580496107</v>
      </c>
      <c r="C531" s="61" t="s">
        <v>214</v>
      </c>
      <c r="D531" s="65" t="s">
        <v>68</v>
      </c>
      <c r="E531" s="53">
        <v>97756.75</v>
      </c>
      <c r="F531" s="53">
        <v>48878</v>
      </c>
      <c r="G531" s="54">
        <f t="shared" si="36"/>
        <v>0.4999961639477581</v>
      </c>
      <c r="H531" s="62">
        <v>75402</v>
      </c>
      <c r="I531" s="63">
        <f t="shared" si="37"/>
        <v>68429.72499999999</v>
      </c>
      <c r="J531" s="63">
        <f t="shared" si="38"/>
        <v>60321.600000000006</v>
      </c>
      <c r="K531" s="172">
        <f t="shared" si="39"/>
        <v>60322</v>
      </c>
      <c r="L531" s="156"/>
      <c r="M531" s="173"/>
      <c r="N531" s="173"/>
      <c r="O531" s="190"/>
      <c r="P531" s="13"/>
    </row>
    <row r="532" spans="1:16" ht="15.75">
      <c r="A532">
        <v>526</v>
      </c>
      <c r="B532" s="61">
        <v>580496792</v>
      </c>
      <c r="C532" s="61" t="s">
        <v>607</v>
      </c>
      <c r="D532" s="61" t="s">
        <v>74</v>
      </c>
      <c r="E532" s="53">
        <v>36822.75</v>
      </c>
      <c r="F532" s="53">
        <v>14729</v>
      </c>
      <c r="G532" s="54">
        <f t="shared" si="36"/>
        <v>0.3999972842875668</v>
      </c>
      <c r="H532" s="62">
        <v>9607</v>
      </c>
      <c r="I532" s="63">
        <f t="shared" si="37"/>
        <v>25775.925</v>
      </c>
      <c r="J532" s="63">
        <f t="shared" si="38"/>
        <v>7685.6</v>
      </c>
      <c r="K532" s="172">
        <f t="shared" si="39"/>
        <v>0</v>
      </c>
      <c r="L532" s="156"/>
      <c r="M532" s="173"/>
      <c r="N532" s="173"/>
      <c r="O532" s="190"/>
      <c r="P532" s="13"/>
    </row>
    <row r="533" spans="1:16" ht="15.75">
      <c r="A533" s="13">
        <v>527</v>
      </c>
      <c r="B533" s="61">
        <v>580497048</v>
      </c>
      <c r="C533" s="61" t="s">
        <v>467</v>
      </c>
      <c r="D533" s="61" t="s">
        <v>63</v>
      </c>
      <c r="E533" s="53">
        <v>471350</v>
      </c>
      <c r="F533" s="53">
        <v>235675</v>
      </c>
      <c r="G533" s="54">
        <f t="shared" si="36"/>
        <v>0.5</v>
      </c>
      <c r="H533" s="62">
        <v>460048</v>
      </c>
      <c r="I533" s="63">
        <f t="shared" si="37"/>
        <v>329945</v>
      </c>
      <c r="J533" s="63">
        <f t="shared" si="38"/>
        <v>368038.4</v>
      </c>
      <c r="K533" s="172">
        <f t="shared" si="39"/>
        <v>329945</v>
      </c>
      <c r="L533" s="156"/>
      <c r="M533" s="173"/>
      <c r="N533" s="173"/>
      <c r="O533" s="190"/>
      <c r="P533" s="13"/>
    </row>
    <row r="534" spans="1:16" ht="15">
      <c r="A534">
        <v>528</v>
      </c>
      <c r="B534" s="66">
        <v>580497170</v>
      </c>
      <c r="C534" s="16" t="s">
        <v>302</v>
      </c>
      <c r="D534" s="16" t="s">
        <v>72</v>
      </c>
      <c r="E534" s="53">
        <v>15483.25</v>
      </c>
      <c r="F534" s="53">
        <v>7742</v>
      </c>
      <c r="G534" s="54">
        <f t="shared" si="36"/>
        <v>0.5000242197213117</v>
      </c>
      <c r="H534" s="62">
        <v>17366</v>
      </c>
      <c r="I534" s="63">
        <f t="shared" si="37"/>
        <v>10838.275</v>
      </c>
      <c r="J534" s="63">
        <f t="shared" si="38"/>
        <v>13892.800000000001</v>
      </c>
      <c r="K534" s="172">
        <f t="shared" si="39"/>
        <v>10838</v>
      </c>
      <c r="L534" s="156"/>
      <c r="M534" s="173"/>
      <c r="N534" s="173"/>
      <c r="O534" s="190"/>
      <c r="P534" s="13"/>
    </row>
    <row r="535" spans="1:16" ht="15.75">
      <c r="A535" s="13">
        <v>529</v>
      </c>
      <c r="B535" s="60">
        <v>580497758</v>
      </c>
      <c r="C535" s="61" t="s">
        <v>215</v>
      </c>
      <c r="D535" s="65" t="s">
        <v>72</v>
      </c>
      <c r="E535" s="53">
        <v>293064.75</v>
      </c>
      <c r="F535" s="53">
        <v>146532</v>
      </c>
      <c r="G535" s="54">
        <f t="shared" si="36"/>
        <v>0.499998720419293</v>
      </c>
      <c r="H535" s="62">
        <v>254544</v>
      </c>
      <c r="I535" s="63">
        <f t="shared" si="37"/>
        <v>205145.32499999998</v>
      </c>
      <c r="J535" s="63">
        <f t="shared" si="38"/>
        <v>203635.2</v>
      </c>
      <c r="K535" s="172">
        <f t="shared" si="39"/>
        <v>203635</v>
      </c>
      <c r="L535" s="156"/>
      <c r="M535" s="173"/>
      <c r="N535" s="173"/>
      <c r="O535" s="190"/>
      <c r="P535" s="13"/>
    </row>
    <row r="536" spans="1:16" ht="15.75">
      <c r="A536">
        <v>530</v>
      </c>
      <c r="B536" s="60">
        <v>580498012</v>
      </c>
      <c r="C536" s="61" t="s">
        <v>216</v>
      </c>
      <c r="D536" s="65" t="s">
        <v>63</v>
      </c>
      <c r="E536" s="53">
        <v>282201.5</v>
      </c>
      <c r="F536" s="53">
        <v>141101</v>
      </c>
      <c r="G536" s="54">
        <f t="shared" si="36"/>
        <v>0.5000008858918185</v>
      </c>
      <c r="H536" s="62">
        <v>244635</v>
      </c>
      <c r="I536" s="63">
        <f t="shared" si="37"/>
        <v>197541.05</v>
      </c>
      <c r="J536" s="63">
        <f t="shared" si="38"/>
        <v>195708</v>
      </c>
      <c r="K536" s="172">
        <f t="shared" si="39"/>
        <v>195708</v>
      </c>
      <c r="L536" s="156"/>
      <c r="M536" s="173"/>
      <c r="N536" s="173"/>
      <c r="O536" s="190"/>
      <c r="P536" s="13"/>
    </row>
    <row r="537" spans="1:16" ht="15.75">
      <c r="A537" s="13">
        <v>531</v>
      </c>
      <c r="B537" s="60">
        <v>580498038</v>
      </c>
      <c r="C537" s="61" t="s">
        <v>710</v>
      </c>
      <c r="D537" s="61" t="s">
        <v>94</v>
      </c>
      <c r="E537" s="53">
        <v>60791.25</v>
      </c>
      <c r="F537" s="53">
        <v>30396</v>
      </c>
      <c r="G537" s="54">
        <f t="shared" si="36"/>
        <v>0.5000061686509161</v>
      </c>
      <c r="H537" s="62">
        <v>120278</v>
      </c>
      <c r="I537" s="63">
        <f t="shared" si="37"/>
        <v>42553.875</v>
      </c>
      <c r="J537" s="63">
        <f t="shared" si="38"/>
        <v>96222.40000000001</v>
      </c>
      <c r="K537" s="172">
        <f t="shared" si="39"/>
        <v>42554</v>
      </c>
      <c r="L537" s="156"/>
      <c r="M537" s="173"/>
      <c r="N537" s="173"/>
      <c r="O537" s="190"/>
      <c r="P537" s="13"/>
    </row>
    <row r="538" spans="1:16" ht="15.75">
      <c r="A538">
        <v>532</v>
      </c>
      <c r="B538" s="60">
        <v>580498244</v>
      </c>
      <c r="C538" s="61" t="s">
        <v>608</v>
      </c>
      <c r="D538" s="65" t="s">
        <v>63</v>
      </c>
      <c r="E538" s="53">
        <f>492319.5+350000</f>
        <v>842319.5</v>
      </c>
      <c r="F538" s="53">
        <f>246160+140000</f>
        <v>386160</v>
      </c>
      <c r="G538" s="54">
        <f t="shared" si="36"/>
        <v>0.4584483678699116</v>
      </c>
      <c r="H538" s="62">
        <f>299037+350000</f>
        <v>649037</v>
      </c>
      <c r="I538" s="63">
        <f t="shared" si="37"/>
        <v>589623.6499999999</v>
      </c>
      <c r="J538" s="63">
        <f t="shared" si="38"/>
        <v>519229.60000000003</v>
      </c>
      <c r="K538" s="172">
        <f t="shared" si="39"/>
        <v>519230</v>
      </c>
      <c r="L538" s="156"/>
      <c r="M538" s="173"/>
      <c r="N538" s="173"/>
      <c r="O538" s="190"/>
      <c r="P538" s="13"/>
    </row>
    <row r="539" spans="1:16" ht="15.75">
      <c r="A539" s="13">
        <v>533</v>
      </c>
      <c r="B539" s="60">
        <v>580498251</v>
      </c>
      <c r="C539" s="61" t="s">
        <v>609</v>
      </c>
      <c r="D539" s="65" t="s">
        <v>63</v>
      </c>
      <c r="E539" s="53">
        <v>101764.5</v>
      </c>
      <c r="F539" s="53">
        <v>50882</v>
      </c>
      <c r="G539" s="54">
        <f t="shared" si="36"/>
        <v>0.499997543347631</v>
      </c>
      <c r="H539" s="62">
        <v>100668</v>
      </c>
      <c r="I539" s="63">
        <f t="shared" si="37"/>
        <v>71235.15</v>
      </c>
      <c r="J539" s="63">
        <f t="shared" si="38"/>
        <v>80534.40000000001</v>
      </c>
      <c r="K539" s="172">
        <f t="shared" si="39"/>
        <v>71235</v>
      </c>
      <c r="L539" s="156"/>
      <c r="M539" s="173"/>
      <c r="N539" s="173"/>
      <c r="O539" s="190"/>
      <c r="P539" s="13"/>
    </row>
    <row r="540" spans="1:16" ht="15.75">
      <c r="A540">
        <v>534</v>
      </c>
      <c r="B540" s="60">
        <v>580498509</v>
      </c>
      <c r="C540" s="61" t="s">
        <v>468</v>
      </c>
      <c r="D540" s="65" t="s">
        <v>63</v>
      </c>
      <c r="E540" s="53">
        <v>207121.25</v>
      </c>
      <c r="F540" s="53">
        <v>103561</v>
      </c>
      <c r="G540" s="54">
        <f t="shared" si="36"/>
        <v>0.500001810533685</v>
      </c>
      <c r="H540" s="62">
        <v>221703</v>
      </c>
      <c r="I540" s="63">
        <f t="shared" si="37"/>
        <v>144984.875</v>
      </c>
      <c r="J540" s="63">
        <f t="shared" si="38"/>
        <v>177362.40000000002</v>
      </c>
      <c r="K540" s="172">
        <f t="shared" si="39"/>
        <v>144985</v>
      </c>
      <c r="L540" s="156"/>
      <c r="M540" s="173"/>
      <c r="N540" s="173"/>
      <c r="O540" s="190"/>
      <c r="P540" s="13"/>
    </row>
    <row r="541" spans="1:16" ht="15.75">
      <c r="A541" s="13">
        <v>535</v>
      </c>
      <c r="B541" s="60">
        <v>580499150</v>
      </c>
      <c r="C541" s="61" t="s">
        <v>399</v>
      </c>
      <c r="D541" s="65" t="s">
        <v>63</v>
      </c>
      <c r="E541" s="53">
        <v>86167.25</v>
      </c>
      <c r="F541" s="53">
        <v>43084</v>
      </c>
      <c r="G541" s="54">
        <f t="shared" si="36"/>
        <v>0.5000043520014855</v>
      </c>
      <c r="H541" s="62">
        <v>83980</v>
      </c>
      <c r="I541" s="63">
        <f t="shared" si="37"/>
        <v>60317.075</v>
      </c>
      <c r="J541" s="63">
        <f t="shared" si="38"/>
        <v>67184</v>
      </c>
      <c r="K541" s="172">
        <f t="shared" si="39"/>
        <v>60317</v>
      </c>
      <c r="L541" s="156"/>
      <c r="M541" s="173"/>
      <c r="N541" s="173"/>
      <c r="O541" s="190"/>
      <c r="P541" s="13"/>
    </row>
    <row r="542" spans="1:16" ht="15.75">
      <c r="A542">
        <v>536</v>
      </c>
      <c r="B542" s="60">
        <v>580500825</v>
      </c>
      <c r="C542" s="61" t="s">
        <v>303</v>
      </c>
      <c r="D542" s="65" t="s">
        <v>63</v>
      </c>
      <c r="E542" s="53">
        <v>296793</v>
      </c>
      <c r="F542" s="53">
        <v>148397</v>
      </c>
      <c r="G542" s="54">
        <f t="shared" si="36"/>
        <v>0.5000016846758515</v>
      </c>
      <c r="H542" s="62">
        <v>343205</v>
      </c>
      <c r="I542" s="63">
        <f t="shared" si="37"/>
        <v>207755.09999999998</v>
      </c>
      <c r="J542" s="63">
        <f t="shared" si="38"/>
        <v>274564</v>
      </c>
      <c r="K542" s="172">
        <f t="shared" si="39"/>
        <v>207755</v>
      </c>
      <c r="L542" s="156"/>
      <c r="M542" s="173"/>
      <c r="N542" s="173"/>
      <c r="O542" s="190"/>
      <c r="P542" s="13"/>
    </row>
    <row r="543" spans="1:16" ht="15.75">
      <c r="A543" s="13">
        <v>537</v>
      </c>
      <c r="B543" s="60">
        <v>580502698</v>
      </c>
      <c r="C543" s="61" t="s">
        <v>400</v>
      </c>
      <c r="D543" s="65" t="s">
        <v>63</v>
      </c>
      <c r="E543" s="53">
        <v>20656.25</v>
      </c>
      <c r="F543" s="53">
        <v>10328</v>
      </c>
      <c r="G543" s="54">
        <f t="shared" si="36"/>
        <v>0.4999939485627837</v>
      </c>
      <c r="H543" s="62">
        <v>17321</v>
      </c>
      <c r="I543" s="63">
        <f t="shared" si="37"/>
        <v>14459.374999999998</v>
      </c>
      <c r="J543" s="63">
        <f t="shared" si="38"/>
        <v>13856.800000000001</v>
      </c>
      <c r="K543" s="172">
        <f t="shared" si="39"/>
        <v>13857</v>
      </c>
      <c r="L543" s="156"/>
      <c r="M543" s="173"/>
      <c r="N543" s="173"/>
      <c r="O543" s="190"/>
      <c r="P543" s="13"/>
    </row>
    <row r="544" spans="1:16" ht="15">
      <c r="A544">
        <v>538</v>
      </c>
      <c r="B544" s="79">
        <v>580502763</v>
      </c>
      <c r="C544" s="16" t="s">
        <v>469</v>
      </c>
      <c r="D544" s="16" t="s">
        <v>72</v>
      </c>
      <c r="E544" s="53">
        <v>50923.25</v>
      </c>
      <c r="F544" s="53">
        <v>25462</v>
      </c>
      <c r="G544" s="54">
        <f t="shared" si="36"/>
        <v>0.5000073640233096</v>
      </c>
      <c r="H544" s="62">
        <v>41926</v>
      </c>
      <c r="I544" s="63">
        <f t="shared" si="37"/>
        <v>35646.274999999994</v>
      </c>
      <c r="J544" s="63">
        <f t="shared" si="38"/>
        <v>33540.8</v>
      </c>
      <c r="K544" s="172">
        <f t="shared" si="39"/>
        <v>33541</v>
      </c>
      <c r="L544" s="156"/>
      <c r="M544" s="173"/>
      <c r="N544" s="173"/>
      <c r="O544" s="190"/>
      <c r="P544" s="13"/>
    </row>
    <row r="545" spans="1:16" ht="15">
      <c r="A545" s="13">
        <v>539</v>
      </c>
      <c r="B545" s="66">
        <v>580503662</v>
      </c>
      <c r="C545" s="66" t="s">
        <v>711</v>
      </c>
      <c r="D545" s="16" t="s">
        <v>68</v>
      </c>
      <c r="E545" s="53">
        <v>5797</v>
      </c>
      <c r="F545" s="53">
        <v>2899</v>
      </c>
      <c r="G545" s="54">
        <f t="shared" si="36"/>
        <v>0.5000862515094014</v>
      </c>
      <c r="H545" s="62">
        <v>4007</v>
      </c>
      <c r="I545" s="63">
        <f t="shared" si="37"/>
        <v>4057.8999999999996</v>
      </c>
      <c r="J545" s="63">
        <f t="shared" si="38"/>
        <v>3205.6000000000004</v>
      </c>
      <c r="K545" s="172">
        <f t="shared" si="39"/>
        <v>3206</v>
      </c>
      <c r="L545" s="156"/>
      <c r="M545" s="173"/>
      <c r="N545" s="173"/>
      <c r="O545" s="190"/>
      <c r="P545" s="13"/>
    </row>
    <row r="546" spans="1:16" ht="15">
      <c r="A546">
        <v>540</v>
      </c>
      <c r="B546" s="89">
        <v>580503928</v>
      </c>
      <c r="C546" s="90" t="s">
        <v>401</v>
      </c>
      <c r="D546" s="90" t="s">
        <v>72</v>
      </c>
      <c r="E546" s="53">
        <v>28242.5</v>
      </c>
      <c r="F546" s="53">
        <v>14121</v>
      </c>
      <c r="G546" s="54">
        <f t="shared" si="36"/>
        <v>0.4999911480924139</v>
      </c>
      <c r="H546" s="62">
        <v>19601</v>
      </c>
      <c r="I546" s="63">
        <f t="shared" si="37"/>
        <v>19769.75</v>
      </c>
      <c r="J546" s="63">
        <f t="shared" si="38"/>
        <v>15680.800000000001</v>
      </c>
      <c r="K546" s="172">
        <f t="shared" si="39"/>
        <v>15681</v>
      </c>
      <c r="L546" s="156"/>
      <c r="M546" s="173"/>
      <c r="N546" s="173"/>
      <c r="O546" s="190"/>
      <c r="P546" s="13"/>
    </row>
    <row r="547" spans="1:16" ht="15.75">
      <c r="A547" s="13">
        <v>541</v>
      </c>
      <c r="B547" s="60">
        <v>580504496</v>
      </c>
      <c r="C547" s="61" t="s">
        <v>217</v>
      </c>
      <c r="D547" s="65" t="s">
        <v>63</v>
      </c>
      <c r="E547" s="53">
        <v>35288</v>
      </c>
      <c r="F547" s="53">
        <v>17644</v>
      </c>
      <c r="G547" s="54">
        <f t="shared" si="36"/>
        <v>0.5</v>
      </c>
      <c r="H547" s="62">
        <v>24213</v>
      </c>
      <c r="I547" s="63">
        <f t="shared" si="37"/>
        <v>24701.6</v>
      </c>
      <c r="J547" s="63">
        <f t="shared" si="38"/>
        <v>19370.4</v>
      </c>
      <c r="K547" s="172">
        <f t="shared" si="39"/>
        <v>19370</v>
      </c>
      <c r="L547" s="156"/>
      <c r="M547" s="173"/>
      <c r="N547" s="173"/>
      <c r="O547" s="190"/>
      <c r="P547" s="13"/>
    </row>
    <row r="548" spans="1:16" ht="15.75">
      <c r="A548">
        <v>542</v>
      </c>
      <c r="B548" s="60">
        <v>580504660</v>
      </c>
      <c r="C548" s="61" t="s">
        <v>544</v>
      </c>
      <c r="D548" s="65" t="s">
        <v>63</v>
      </c>
      <c r="E548" s="53">
        <v>144825.75</v>
      </c>
      <c r="F548" s="53">
        <v>72413</v>
      </c>
      <c r="G548" s="54">
        <f t="shared" si="36"/>
        <v>0.5000008631061811</v>
      </c>
      <c r="H548" s="62">
        <v>246011</v>
      </c>
      <c r="I548" s="63">
        <f t="shared" si="37"/>
        <v>101378.025</v>
      </c>
      <c r="J548" s="63">
        <f t="shared" si="38"/>
        <v>196808.80000000002</v>
      </c>
      <c r="K548" s="172">
        <f t="shared" si="39"/>
        <v>101378</v>
      </c>
      <c r="L548" s="156"/>
      <c r="M548" s="173"/>
      <c r="N548" s="173"/>
      <c r="O548" s="190"/>
      <c r="P548" s="13"/>
    </row>
    <row r="549" spans="1:16" ht="15.75">
      <c r="A549" s="13">
        <v>543</v>
      </c>
      <c r="B549" s="65">
        <v>580506566</v>
      </c>
      <c r="C549" s="91" t="s">
        <v>470</v>
      </c>
      <c r="D549" s="61" t="s">
        <v>68</v>
      </c>
      <c r="E549" s="53">
        <v>26607.25</v>
      </c>
      <c r="F549" s="53">
        <v>13304</v>
      </c>
      <c r="G549" s="54">
        <f t="shared" si="36"/>
        <v>0.5000140939029776</v>
      </c>
      <c r="H549" s="62">
        <v>25397</v>
      </c>
      <c r="I549" s="63">
        <f t="shared" si="37"/>
        <v>18625.074999999997</v>
      </c>
      <c r="J549" s="63">
        <f t="shared" si="38"/>
        <v>20317.600000000002</v>
      </c>
      <c r="K549" s="172">
        <f t="shared" si="39"/>
        <v>18625</v>
      </c>
      <c r="L549" s="156"/>
      <c r="M549" s="173"/>
      <c r="N549" s="173"/>
      <c r="O549" s="190"/>
      <c r="P549" s="13"/>
    </row>
    <row r="550" spans="1:16" ht="15.75">
      <c r="A550">
        <v>544</v>
      </c>
      <c r="B550" s="60">
        <v>580507341</v>
      </c>
      <c r="C550" s="61" t="s">
        <v>471</v>
      </c>
      <c r="D550" s="65" t="s">
        <v>63</v>
      </c>
      <c r="E550" s="53">
        <v>199916</v>
      </c>
      <c r="F550" s="53">
        <v>79966</v>
      </c>
      <c r="G550" s="54">
        <f t="shared" si="36"/>
        <v>0.39999799915964707</v>
      </c>
      <c r="H550" s="62">
        <v>242315</v>
      </c>
      <c r="I550" s="63">
        <f t="shared" si="37"/>
        <v>139941.19999999998</v>
      </c>
      <c r="J550" s="63">
        <f t="shared" si="38"/>
        <v>193852</v>
      </c>
      <c r="K550" s="172">
        <f t="shared" si="39"/>
        <v>139941</v>
      </c>
      <c r="L550" s="156"/>
      <c r="M550" s="173"/>
      <c r="N550" s="173"/>
      <c r="O550" s="190"/>
      <c r="P550" s="13"/>
    </row>
    <row r="551" spans="1:16" ht="15.75">
      <c r="A551" s="13">
        <v>545</v>
      </c>
      <c r="B551" s="60">
        <v>580507531</v>
      </c>
      <c r="C551" s="61" t="s">
        <v>304</v>
      </c>
      <c r="D551" s="65" t="s">
        <v>63</v>
      </c>
      <c r="E551" s="53">
        <v>229691.25</v>
      </c>
      <c r="F551" s="53">
        <v>91877</v>
      </c>
      <c r="G551" s="54">
        <f t="shared" si="36"/>
        <v>0.4000021768352081</v>
      </c>
      <c r="H551" s="62">
        <v>233206</v>
      </c>
      <c r="I551" s="63">
        <f t="shared" si="37"/>
        <v>160783.875</v>
      </c>
      <c r="J551" s="63">
        <f t="shared" si="38"/>
        <v>186564.80000000002</v>
      </c>
      <c r="K551" s="172">
        <f t="shared" si="39"/>
        <v>160784</v>
      </c>
      <c r="L551" s="156"/>
      <c r="M551" s="173"/>
      <c r="N551" s="173"/>
      <c r="O551" s="190"/>
      <c r="P551" s="13"/>
    </row>
    <row r="552" spans="1:16" ht="15">
      <c r="A552">
        <v>546</v>
      </c>
      <c r="B552" s="66">
        <v>580507705</v>
      </c>
      <c r="C552" s="16" t="s">
        <v>744</v>
      </c>
      <c r="D552" s="16" t="s">
        <v>72</v>
      </c>
      <c r="E552" s="53">
        <v>15558.75</v>
      </c>
      <c r="F552" s="53">
        <v>7779</v>
      </c>
      <c r="G552" s="54">
        <f t="shared" si="36"/>
        <v>0.49997589780670043</v>
      </c>
      <c r="H552" s="62">
        <v>16201</v>
      </c>
      <c r="I552" s="63">
        <f t="shared" si="37"/>
        <v>10891.125</v>
      </c>
      <c r="J552" s="63">
        <f t="shared" si="38"/>
        <v>12960.800000000001</v>
      </c>
      <c r="K552" s="172">
        <f t="shared" si="39"/>
        <v>10891</v>
      </c>
      <c r="L552" s="156"/>
      <c r="M552" s="173"/>
      <c r="N552" s="173"/>
      <c r="O552" s="190"/>
      <c r="P552" s="13"/>
    </row>
    <row r="553" spans="1:16" ht="15.75">
      <c r="A553" s="13">
        <v>547</v>
      </c>
      <c r="B553" s="61">
        <v>580507929</v>
      </c>
      <c r="C553" s="61" t="s">
        <v>402</v>
      </c>
      <c r="D553" s="61" t="s">
        <v>72</v>
      </c>
      <c r="E553" s="53">
        <v>23788.75</v>
      </c>
      <c r="F553" s="53">
        <v>11894</v>
      </c>
      <c r="G553" s="54">
        <f t="shared" si="36"/>
        <v>0.49998423624612476</v>
      </c>
      <c r="H553" s="62">
        <v>25375</v>
      </c>
      <c r="I553" s="63">
        <f t="shared" si="37"/>
        <v>16652.125</v>
      </c>
      <c r="J553" s="63">
        <f t="shared" si="38"/>
        <v>20300</v>
      </c>
      <c r="K553" s="172">
        <f t="shared" si="39"/>
        <v>16652</v>
      </c>
      <c r="L553" s="156"/>
      <c r="M553" s="173"/>
      <c r="N553" s="173"/>
      <c r="O553" s="190"/>
      <c r="P553" s="13"/>
    </row>
    <row r="554" spans="1:16" ht="15.75">
      <c r="A554">
        <v>548</v>
      </c>
      <c r="B554" s="87">
        <v>580509065</v>
      </c>
      <c r="C554" s="61" t="s">
        <v>472</v>
      </c>
      <c r="D554" s="61" t="s">
        <v>68</v>
      </c>
      <c r="E554" s="53">
        <v>7512</v>
      </c>
      <c r="F554" s="53">
        <v>3756</v>
      </c>
      <c r="G554" s="54">
        <f t="shared" si="36"/>
        <v>0.5</v>
      </c>
      <c r="H554" s="62">
        <v>10027</v>
      </c>
      <c r="I554" s="63">
        <f t="shared" si="37"/>
        <v>5258.4</v>
      </c>
      <c r="J554" s="63">
        <f t="shared" si="38"/>
        <v>8021.6</v>
      </c>
      <c r="K554" s="172">
        <f t="shared" si="39"/>
        <v>5258</v>
      </c>
      <c r="L554" s="156"/>
      <c r="M554" s="173"/>
      <c r="N554" s="173"/>
      <c r="O554" s="190"/>
      <c r="P554" s="13"/>
    </row>
    <row r="555" spans="1:16" ht="15.75">
      <c r="A555" s="13">
        <v>549</v>
      </c>
      <c r="B555" s="60">
        <v>580509487</v>
      </c>
      <c r="C555" s="61" t="s">
        <v>575</v>
      </c>
      <c r="D555" s="65" t="s">
        <v>63</v>
      </c>
      <c r="E555" s="53">
        <v>275917</v>
      </c>
      <c r="F555" s="53">
        <v>137959</v>
      </c>
      <c r="G555" s="54">
        <f t="shared" si="36"/>
        <v>0.5000018121391578</v>
      </c>
      <c r="H555" s="62">
        <v>341981</v>
      </c>
      <c r="I555" s="63">
        <f t="shared" si="37"/>
        <v>193141.9</v>
      </c>
      <c r="J555" s="63">
        <f t="shared" si="38"/>
        <v>273584.8</v>
      </c>
      <c r="K555" s="172">
        <f t="shared" si="39"/>
        <v>193142</v>
      </c>
      <c r="L555" s="156"/>
      <c r="M555" s="173"/>
      <c r="N555" s="173"/>
      <c r="O555" s="190"/>
      <c r="P555" s="13"/>
    </row>
    <row r="556" spans="1:16" ht="15.75">
      <c r="A556">
        <v>550</v>
      </c>
      <c r="B556" s="60">
        <v>580509834</v>
      </c>
      <c r="C556" s="61" t="s">
        <v>765</v>
      </c>
      <c r="D556" s="65" t="s">
        <v>63</v>
      </c>
      <c r="E556" s="53">
        <v>84298</v>
      </c>
      <c r="F556" s="53">
        <v>42149</v>
      </c>
      <c r="G556" s="54">
        <f t="shared" si="36"/>
        <v>0.5</v>
      </c>
      <c r="H556" s="62">
        <v>115033</v>
      </c>
      <c r="I556" s="63">
        <f t="shared" si="37"/>
        <v>59008.6</v>
      </c>
      <c r="J556" s="63">
        <f t="shared" si="38"/>
        <v>92026.40000000001</v>
      </c>
      <c r="K556" s="172">
        <f t="shared" si="39"/>
        <v>59009</v>
      </c>
      <c r="L556" s="156"/>
      <c r="M556" s="173"/>
      <c r="N556" s="173"/>
      <c r="O556" s="190"/>
      <c r="P556" s="13"/>
    </row>
    <row r="557" spans="1:16" ht="15.75">
      <c r="A557" s="13">
        <v>551</v>
      </c>
      <c r="B557" s="60">
        <v>580512325</v>
      </c>
      <c r="C557" s="61" t="s">
        <v>218</v>
      </c>
      <c r="D557" s="61" t="s">
        <v>60</v>
      </c>
      <c r="E557" s="53">
        <v>54335</v>
      </c>
      <c r="F557" s="53">
        <v>27167</v>
      </c>
      <c r="G557" s="54">
        <f t="shared" si="36"/>
        <v>0.4999907978282875</v>
      </c>
      <c r="H557" s="62">
        <v>45493</v>
      </c>
      <c r="I557" s="63">
        <f t="shared" si="37"/>
        <v>38034.5</v>
      </c>
      <c r="J557" s="63">
        <f t="shared" si="38"/>
        <v>36394.4</v>
      </c>
      <c r="K557" s="172">
        <f t="shared" si="39"/>
        <v>36394</v>
      </c>
      <c r="L557" s="156"/>
      <c r="M557" s="173"/>
      <c r="N557" s="173"/>
      <c r="O557" s="190"/>
      <c r="P557" s="13"/>
    </row>
    <row r="558" spans="1:16" ht="15.75">
      <c r="A558">
        <v>552</v>
      </c>
      <c r="B558" s="60">
        <v>580513133</v>
      </c>
      <c r="C558" s="61" t="s">
        <v>403</v>
      </c>
      <c r="D558" s="65" t="s">
        <v>63</v>
      </c>
      <c r="E558" s="53">
        <v>60562</v>
      </c>
      <c r="F558" s="53">
        <v>30281</v>
      </c>
      <c r="G558" s="54">
        <f t="shared" si="36"/>
        <v>0.5</v>
      </c>
      <c r="H558" s="62">
        <v>25278</v>
      </c>
      <c r="I558" s="63">
        <f t="shared" si="37"/>
        <v>42393.399999999994</v>
      </c>
      <c r="J558" s="63">
        <f t="shared" si="38"/>
        <v>20222.4</v>
      </c>
      <c r="K558" s="172">
        <f t="shared" si="39"/>
        <v>0</v>
      </c>
      <c r="L558" s="156"/>
      <c r="M558" s="173"/>
      <c r="N558" s="173"/>
      <c r="O558" s="190"/>
      <c r="P558" s="13"/>
    </row>
    <row r="559" spans="1:16" ht="15.75">
      <c r="A559" s="13">
        <v>553</v>
      </c>
      <c r="B559" s="60">
        <v>580513802</v>
      </c>
      <c r="C559" s="61" t="s">
        <v>404</v>
      </c>
      <c r="D559" s="65" t="s">
        <v>63</v>
      </c>
      <c r="E559" s="53">
        <v>104537</v>
      </c>
      <c r="F559" s="53">
        <v>52269</v>
      </c>
      <c r="G559" s="54">
        <f t="shared" si="36"/>
        <v>0.5000047829954944</v>
      </c>
      <c r="H559" s="62">
        <v>94962</v>
      </c>
      <c r="I559" s="63">
        <f t="shared" si="37"/>
        <v>73175.9</v>
      </c>
      <c r="J559" s="63">
        <f t="shared" si="38"/>
        <v>75969.6</v>
      </c>
      <c r="K559" s="172">
        <f t="shared" si="39"/>
        <v>73176</v>
      </c>
      <c r="L559" s="156"/>
      <c r="M559" s="173"/>
      <c r="N559" s="173"/>
      <c r="O559" s="190"/>
      <c r="P559" s="13"/>
    </row>
    <row r="560" spans="1:16" ht="15.75">
      <c r="A560">
        <v>554</v>
      </c>
      <c r="B560" s="60">
        <v>580513927</v>
      </c>
      <c r="C560" s="153" t="s">
        <v>731</v>
      </c>
      <c r="D560" s="16" t="s">
        <v>72</v>
      </c>
      <c r="E560" s="53">
        <v>113659</v>
      </c>
      <c r="F560" s="53">
        <v>45464</v>
      </c>
      <c r="G560" s="54">
        <f t="shared" si="36"/>
        <v>0.40000351929895567</v>
      </c>
      <c r="H560" s="62">
        <v>80738</v>
      </c>
      <c r="I560" s="63">
        <f t="shared" si="37"/>
        <v>79561.29999999999</v>
      </c>
      <c r="J560" s="63">
        <f t="shared" si="38"/>
        <v>64590.4</v>
      </c>
      <c r="K560" s="172">
        <f t="shared" si="39"/>
        <v>64590</v>
      </c>
      <c r="L560" s="156"/>
      <c r="M560" s="173"/>
      <c r="N560" s="173"/>
      <c r="O560" s="190"/>
      <c r="P560" s="13"/>
    </row>
    <row r="561" spans="1:16" ht="15.75">
      <c r="A561" s="13">
        <v>555</v>
      </c>
      <c r="B561" s="60">
        <v>580514610</v>
      </c>
      <c r="C561" s="61" t="s">
        <v>576</v>
      </c>
      <c r="D561" s="65" t="s">
        <v>63</v>
      </c>
      <c r="E561" s="53">
        <v>50032.25</v>
      </c>
      <c r="F561" s="53">
        <v>25016</v>
      </c>
      <c r="G561" s="54">
        <f t="shared" si="36"/>
        <v>0.4999975016114606</v>
      </c>
      <c r="H561" s="62">
        <v>47550</v>
      </c>
      <c r="I561" s="63">
        <f t="shared" si="37"/>
        <v>35022.575</v>
      </c>
      <c r="J561" s="63">
        <f t="shared" si="38"/>
        <v>38040</v>
      </c>
      <c r="K561" s="172">
        <f t="shared" si="39"/>
        <v>35023</v>
      </c>
      <c r="L561" s="156"/>
      <c r="M561" s="173"/>
      <c r="N561" s="173"/>
      <c r="O561" s="190"/>
      <c r="P561" s="13"/>
    </row>
    <row r="562" spans="1:16" ht="15.75">
      <c r="A562">
        <v>556</v>
      </c>
      <c r="B562" s="60">
        <v>580515021</v>
      </c>
      <c r="C562" s="61" t="s">
        <v>405</v>
      </c>
      <c r="D562" s="61" t="s">
        <v>60</v>
      </c>
      <c r="E562" s="53">
        <v>4500</v>
      </c>
      <c r="F562" s="53">
        <v>1800</v>
      </c>
      <c r="G562" s="54">
        <f t="shared" si="36"/>
        <v>0.4</v>
      </c>
      <c r="H562" s="62">
        <v>8526</v>
      </c>
      <c r="I562" s="63">
        <f t="shared" si="37"/>
        <v>3150</v>
      </c>
      <c r="J562" s="63">
        <f t="shared" si="38"/>
        <v>6820.8</v>
      </c>
      <c r="K562" s="172">
        <f t="shared" si="39"/>
        <v>3150</v>
      </c>
      <c r="L562" s="156"/>
      <c r="M562" s="173"/>
      <c r="N562" s="173"/>
      <c r="O562" s="190"/>
      <c r="P562" s="13"/>
    </row>
    <row r="563" spans="1:16" ht="15.75">
      <c r="A563" s="13">
        <v>557</v>
      </c>
      <c r="B563" s="60">
        <v>580515831</v>
      </c>
      <c r="C563" s="61" t="s">
        <v>406</v>
      </c>
      <c r="D563" s="65" t="s">
        <v>63</v>
      </c>
      <c r="E563" s="53">
        <v>17518.75</v>
      </c>
      <c r="F563" s="53">
        <v>8759</v>
      </c>
      <c r="G563" s="54">
        <f t="shared" si="36"/>
        <v>0.4999785943631823</v>
      </c>
      <c r="H563" s="62">
        <v>10915</v>
      </c>
      <c r="I563" s="63">
        <f t="shared" si="37"/>
        <v>12263.125</v>
      </c>
      <c r="J563" s="63">
        <f t="shared" si="38"/>
        <v>8732</v>
      </c>
      <c r="K563" s="172">
        <f t="shared" si="39"/>
        <v>0</v>
      </c>
      <c r="L563" s="156"/>
      <c r="M563" s="173"/>
      <c r="N563" s="173"/>
      <c r="O563" s="190"/>
      <c r="P563" s="13"/>
    </row>
    <row r="564" spans="1:16" ht="15.75">
      <c r="A564">
        <v>558</v>
      </c>
      <c r="B564" s="108">
        <v>580516722</v>
      </c>
      <c r="C564" s="61" t="s">
        <v>750</v>
      </c>
      <c r="D564" s="61" t="s">
        <v>63</v>
      </c>
      <c r="E564" s="53">
        <v>24658.5</v>
      </c>
      <c r="F564" s="53">
        <v>12329</v>
      </c>
      <c r="G564" s="54">
        <f t="shared" si="36"/>
        <v>0.499989861508202</v>
      </c>
      <c r="H564" s="62">
        <v>27585</v>
      </c>
      <c r="I564" s="63">
        <f t="shared" si="37"/>
        <v>17260.949999999997</v>
      </c>
      <c r="J564" s="63">
        <f t="shared" si="38"/>
        <v>22068</v>
      </c>
      <c r="K564" s="172">
        <f t="shared" si="39"/>
        <v>17261</v>
      </c>
      <c r="L564" s="156"/>
      <c r="M564" s="173"/>
      <c r="N564" s="173"/>
      <c r="O564" s="190"/>
      <c r="P564" s="13"/>
    </row>
    <row r="565" spans="1:16" ht="15.75">
      <c r="A565" s="13">
        <v>559</v>
      </c>
      <c r="B565" s="61">
        <v>580518942</v>
      </c>
      <c r="C565" s="61" t="s">
        <v>473</v>
      </c>
      <c r="D565" s="68" t="s">
        <v>94</v>
      </c>
      <c r="E565" s="53">
        <v>85708.75</v>
      </c>
      <c r="F565" s="53">
        <v>42854</v>
      </c>
      <c r="G565" s="54">
        <f t="shared" si="36"/>
        <v>0.49999562471742964</v>
      </c>
      <c r="H565" s="62">
        <v>58334</v>
      </c>
      <c r="I565" s="63">
        <f t="shared" si="37"/>
        <v>59996.12499999999</v>
      </c>
      <c r="J565" s="63">
        <f t="shared" si="38"/>
        <v>46667.200000000004</v>
      </c>
      <c r="K565" s="172">
        <f t="shared" si="39"/>
        <v>46667</v>
      </c>
      <c r="L565" s="156"/>
      <c r="M565" s="173"/>
      <c r="N565" s="173"/>
      <c r="O565" s="190"/>
      <c r="P565" s="13"/>
    </row>
    <row r="566" spans="1:16" ht="15.75">
      <c r="A566">
        <v>560</v>
      </c>
      <c r="B566" s="60">
        <v>580519932</v>
      </c>
      <c r="C566" s="61" t="s">
        <v>407</v>
      </c>
      <c r="D566" s="65" t="s">
        <v>63</v>
      </c>
      <c r="E566" s="53">
        <v>175165</v>
      </c>
      <c r="F566" s="53">
        <v>87583</v>
      </c>
      <c r="G566" s="54">
        <f t="shared" si="36"/>
        <v>0.5000028544515172</v>
      </c>
      <c r="H566" s="62">
        <v>166369</v>
      </c>
      <c r="I566" s="63">
        <f t="shared" si="37"/>
        <v>122615.49999999999</v>
      </c>
      <c r="J566" s="63">
        <f t="shared" si="38"/>
        <v>133095.2</v>
      </c>
      <c r="K566" s="172">
        <f t="shared" si="39"/>
        <v>122616</v>
      </c>
      <c r="L566" s="156"/>
      <c r="M566" s="173"/>
      <c r="N566" s="173"/>
      <c r="O566" s="190"/>
      <c r="P566" s="13"/>
    </row>
    <row r="567" spans="1:16" ht="15.75">
      <c r="A567" s="13">
        <v>561</v>
      </c>
      <c r="B567" s="86">
        <v>580520559</v>
      </c>
      <c r="C567" s="67" t="s">
        <v>219</v>
      </c>
      <c r="D567" s="76" t="s">
        <v>63</v>
      </c>
      <c r="E567" s="53">
        <v>63591</v>
      </c>
      <c r="F567" s="53">
        <v>30087</v>
      </c>
      <c r="G567" s="54">
        <f t="shared" si="36"/>
        <v>0.47313299051752605</v>
      </c>
      <c r="H567" s="62">
        <v>67851</v>
      </c>
      <c r="I567" s="63">
        <f t="shared" si="37"/>
        <v>44513.7</v>
      </c>
      <c r="J567" s="63">
        <f t="shared" si="38"/>
        <v>54280.8</v>
      </c>
      <c r="K567" s="172">
        <f t="shared" si="39"/>
        <v>44514</v>
      </c>
      <c r="L567" s="156"/>
      <c r="M567" s="173"/>
      <c r="N567" s="173"/>
      <c r="O567" s="190"/>
      <c r="P567" s="13"/>
    </row>
    <row r="568" spans="1:16" ht="15">
      <c r="A568">
        <v>562</v>
      </c>
      <c r="B568" s="66">
        <v>580522647</v>
      </c>
      <c r="C568" s="66" t="s">
        <v>745</v>
      </c>
      <c r="D568" s="16" t="s">
        <v>63</v>
      </c>
      <c r="E568" s="53">
        <v>90156</v>
      </c>
      <c r="F568" s="53">
        <v>45078</v>
      </c>
      <c r="G568" s="54">
        <f t="shared" si="36"/>
        <v>0.5</v>
      </c>
      <c r="H568" s="62">
        <v>69653</v>
      </c>
      <c r="I568" s="63">
        <f t="shared" si="37"/>
        <v>63109.2</v>
      </c>
      <c r="J568" s="63">
        <f t="shared" si="38"/>
        <v>55722.4</v>
      </c>
      <c r="K568" s="172">
        <f t="shared" si="39"/>
        <v>55722</v>
      </c>
      <c r="L568" s="156"/>
      <c r="M568" s="173"/>
      <c r="N568" s="173"/>
      <c r="O568" s="190"/>
      <c r="P568" s="13"/>
    </row>
    <row r="569" spans="1:16" ht="15.75">
      <c r="A569" s="13">
        <v>563</v>
      </c>
      <c r="B569" s="85">
        <v>580523637</v>
      </c>
      <c r="C569" s="61" t="s">
        <v>577</v>
      </c>
      <c r="D569" s="65" t="s">
        <v>63</v>
      </c>
      <c r="E569" s="53">
        <v>113895.75</v>
      </c>
      <c r="F569" s="53">
        <v>56948</v>
      </c>
      <c r="G569" s="54">
        <f t="shared" si="36"/>
        <v>0.5000010974948582</v>
      </c>
      <c r="H569" s="62">
        <v>136862</v>
      </c>
      <c r="I569" s="63">
        <f t="shared" si="37"/>
        <v>79727.025</v>
      </c>
      <c r="J569" s="63">
        <f t="shared" si="38"/>
        <v>109489.6</v>
      </c>
      <c r="K569" s="172">
        <f t="shared" si="39"/>
        <v>79727</v>
      </c>
      <c r="L569" s="156"/>
      <c r="M569" s="173"/>
      <c r="N569" s="173"/>
      <c r="O569" s="190"/>
      <c r="P569" s="13"/>
    </row>
    <row r="570" spans="1:16" ht="15.75">
      <c r="A570">
        <v>564</v>
      </c>
      <c r="B570" s="60">
        <v>580525004</v>
      </c>
      <c r="C570" s="153" t="s">
        <v>732</v>
      </c>
      <c r="D570" s="16" t="s">
        <v>63</v>
      </c>
      <c r="E570" s="53">
        <v>113725.5</v>
      </c>
      <c r="F570" s="53">
        <v>56863</v>
      </c>
      <c r="G570" s="54">
        <f t="shared" si="36"/>
        <v>0.5000021982756726</v>
      </c>
      <c r="H570" s="62">
        <v>227551</v>
      </c>
      <c r="I570" s="63">
        <f t="shared" si="37"/>
        <v>79607.84999999999</v>
      </c>
      <c r="J570" s="63">
        <f t="shared" si="38"/>
        <v>182040.80000000002</v>
      </c>
      <c r="K570" s="172">
        <f t="shared" si="39"/>
        <v>79608</v>
      </c>
      <c r="L570" s="156"/>
      <c r="M570" s="173"/>
      <c r="N570" s="173"/>
      <c r="O570" s="190"/>
      <c r="P570" s="13"/>
    </row>
    <row r="571" spans="1:16" ht="15.75">
      <c r="A571" s="13">
        <v>565</v>
      </c>
      <c r="B571" s="60">
        <v>580527430</v>
      </c>
      <c r="C571" s="61" t="s">
        <v>408</v>
      </c>
      <c r="D571" s="61" t="s">
        <v>60</v>
      </c>
      <c r="E571" s="53">
        <v>65860</v>
      </c>
      <c r="F571" s="53">
        <v>32930</v>
      </c>
      <c r="G571" s="54">
        <f t="shared" si="36"/>
        <v>0.5</v>
      </c>
      <c r="H571" s="62">
        <v>83793</v>
      </c>
      <c r="I571" s="63">
        <f t="shared" si="37"/>
        <v>46102</v>
      </c>
      <c r="J571" s="63">
        <f t="shared" si="38"/>
        <v>67034.40000000001</v>
      </c>
      <c r="K571" s="172">
        <f t="shared" si="39"/>
        <v>46102</v>
      </c>
      <c r="L571" s="156"/>
      <c r="M571" s="173"/>
      <c r="N571" s="173"/>
      <c r="O571" s="190"/>
      <c r="P571" s="13"/>
    </row>
    <row r="572" spans="1:16" ht="15.75">
      <c r="A572">
        <v>566</v>
      </c>
      <c r="B572" s="85">
        <v>580527802</v>
      </c>
      <c r="C572" s="61" t="s">
        <v>220</v>
      </c>
      <c r="D572" s="65" t="s">
        <v>63</v>
      </c>
      <c r="E572" s="53">
        <v>112171</v>
      </c>
      <c r="F572" s="53">
        <v>56086</v>
      </c>
      <c r="G572" s="54">
        <f t="shared" si="36"/>
        <v>0.5000044574800974</v>
      </c>
      <c r="H572" s="62">
        <v>135006</v>
      </c>
      <c r="I572" s="63">
        <f t="shared" si="37"/>
        <v>78519.7</v>
      </c>
      <c r="J572" s="63">
        <f t="shared" si="38"/>
        <v>108004.8</v>
      </c>
      <c r="K572" s="172">
        <f t="shared" si="39"/>
        <v>78520</v>
      </c>
      <c r="L572" s="156"/>
      <c r="M572" s="173"/>
      <c r="N572" s="173"/>
      <c r="O572" s="190"/>
      <c r="P572" s="13"/>
    </row>
    <row r="573" spans="1:16" ht="15.75">
      <c r="A573" s="13">
        <v>567</v>
      </c>
      <c r="B573" s="67">
        <v>580529105</v>
      </c>
      <c r="C573" s="67" t="s">
        <v>474</v>
      </c>
      <c r="D573" s="67" t="s">
        <v>68</v>
      </c>
      <c r="E573" s="53">
        <v>55442</v>
      </c>
      <c r="F573" s="53">
        <v>14019</v>
      </c>
      <c r="G573" s="54">
        <f t="shared" si="36"/>
        <v>0.2528588434760651</v>
      </c>
      <c r="H573" s="62">
        <v>54675</v>
      </c>
      <c r="I573" s="63">
        <f t="shared" si="37"/>
        <v>38809.399999999994</v>
      </c>
      <c r="J573" s="63">
        <f t="shared" si="38"/>
        <v>43740</v>
      </c>
      <c r="K573" s="172">
        <f t="shared" si="39"/>
        <v>38809</v>
      </c>
      <c r="L573" s="156"/>
      <c r="M573" s="173"/>
      <c r="N573" s="173"/>
      <c r="O573" s="190"/>
      <c r="P573" s="13"/>
    </row>
    <row r="574" spans="1:16" ht="15.75">
      <c r="A574">
        <v>568</v>
      </c>
      <c r="B574" s="60">
        <v>580530228</v>
      </c>
      <c r="C574" s="61" t="s">
        <v>475</v>
      </c>
      <c r="D574" s="61" t="s">
        <v>60</v>
      </c>
      <c r="E574" s="53">
        <v>50845.8</v>
      </c>
      <c r="F574" s="53">
        <v>25423</v>
      </c>
      <c r="G574" s="54">
        <f t="shared" si="36"/>
        <v>0.500001966730782</v>
      </c>
      <c r="H574" s="62">
        <v>82674</v>
      </c>
      <c r="I574" s="63">
        <f t="shared" si="37"/>
        <v>35592.06</v>
      </c>
      <c r="J574" s="63">
        <f t="shared" si="38"/>
        <v>66139.2</v>
      </c>
      <c r="K574" s="172">
        <f t="shared" si="39"/>
        <v>35592</v>
      </c>
      <c r="L574" s="156"/>
      <c r="M574" s="173"/>
      <c r="N574" s="173"/>
      <c r="O574" s="190"/>
      <c r="P574" s="13"/>
    </row>
    <row r="575" spans="1:16" ht="15.75">
      <c r="A575" s="13">
        <v>569</v>
      </c>
      <c r="B575" s="60">
        <v>580530376</v>
      </c>
      <c r="C575" s="61" t="s">
        <v>578</v>
      </c>
      <c r="D575" s="65" t="s">
        <v>63</v>
      </c>
      <c r="E575" s="53">
        <v>33814.75</v>
      </c>
      <c r="F575" s="53">
        <v>16907</v>
      </c>
      <c r="G575" s="54">
        <f t="shared" si="36"/>
        <v>0.4999889101649428</v>
      </c>
      <c r="H575" s="62">
        <v>29812</v>
      </c>
      <c r="I575" s="63">
        <f t="shared" si="37"/>
        <v>23670.324999999997</v>
      </c>
      <c r="J575" s="63">
        <f t="shared" si="38"/>
        <v>23849.600000000002</v>
      </c>
      <c r="K575" s="172">
        <f t="shared" si="39"/>
        <v>23670</v>
      </c>
      <c r="L575" s="156"/>
      <c r="M575" s="173"/>
      <c r="N575" s="173"/>
      <c r="O575" s="190"/>
      <c r="P575" s="13"/>
    </row>
    <row r="576" spans="1:16" ht="15.75">
      <c r="A576">
        <v>570</v>
      </c>
      <c r="B576" s="60">
        <v>580530814</v>
      </c>
      <c r="C576" s="61" t="s">
        <v>409</v>
      </c>
      <c r="D576" s="65" t="s">
        <v>63</v>
      </c>
      <c r="E576" s="53">
        <v>233183</v>
      </c>
      <c r="F576" s="53">
        <v>116592</v>
      </c>
      <c r="G576" s="54">
        <f t="shared" si="36"/>
        <v>0.5000021442386452</v>
      </c>
      <c r="H576" s="62">
        <v>259909</v>
      </c>
      <c r="I576" s="63">
        <f t="shared" si="37"/>
        <v>163228.09999999998</v>
      </c>
      <c r="J576" s="63">
        <f t="shared" si="38"/>
        <v>207927.2</v>
      </c>
      <c r="K576" s="172">
        <f t="shared" si="39"/>
        <v>163228</v>
      </c>
      <c r="L576" s="156"/>
      <c r="M576" s="173"/>
      <c r="N576" s="173"/>
      <c r="O576" s="190"/>
      <c r="P576" s="13"/>
    </row>
    <row r="577" spans="1:16" ht="15.75">
      <c r="A577" s="13">
        <v>571</v>
      </c>
      <c r="B577" s="60">
        <v>580530897</v>
      </c>
      <c r="C577" s="153" t="s">
        <v>733</v>
      </c>
      <c r="D577" s="16" t="s">
        <v>63</v>
      </c>
      <c r="E577" s="53">
        <v>15316.75</v>
      </c>
      <c r="F577" s="53">
        <v>6127</v>
      </c>
      <c r="G577" s="54">
        <f aca="true" t="shared" si="40" ref="G577:G640">F577/E577</f>
        <v>0.4000195864005092</v>
      </c>
      <c r="H577" s="62">
        <v>10727</v>
      </c>
      <c r="I577" s="63">
        <f t="shared" si="37"/>
        <v>10721.724999999999</v>
      </c>
      <c r="J577" s="63">
        <f t="shared" si="38"/>
        <v>8581.6</v>
      </c>
      <c r="K577" s="172">
        <f t="shared" si="39"/>
        <v>8582</v>
      </c>
      <c r="L577" s="156"/>
      <c r="M577" s="173"/>
      <c r="N577" s="173"/>
      <c r="O577" s="190"/>
      <c r="P577" s="13"/>
    </row>
    <row r="578" spans="1:16" ht="15">
      <c r="A578">
        <v>572</v>
      </c>
      <c r="B578" s="92">
        <v>580531317</v>
      </c>
      <c r="C578" s="90" t="s">
        <v>410</v>
      </c>
      <c r="D578" s="90" t="s">
        <v>72</v>
      </c>
      <c r="E578" s="53">
        <v>64856.00000000001</v>
      </c>
      <c r="F578" s="53">
        <v>32428</v>
      </c>
      <c r="G578" s="54">
        <f t="shared" si="40"/>
        <v>0.49999999999999994</v>
      </c>
      <c r="H578" s="62">
        <v>48894</v>
      </c>
      <c r="I578" s="63">
        <f t="shared" si="37"/>
        <v>45399.200000000004</v>
      </c>
      <c r="J578" s="63">
        <f t="shared" si="38"/>
        <v>39115.200000000004</v>
      </c>
      <c r="K578" s="172">
        <f t="shared" si="39"/>
        <v>39115</v>
      </c>
      <c r="L578" s="156"/>
      <c r="M578" s="173"/>
      <c r="N578" s="173"/>
      <c r="O578" s="190"/>
      <c r="P578" s="13"/>
    </row>
    <row r="579" spans="1:16" ht="15.75">
      <c r="A579" s="13">
        <v>573</v>
      </c>
      <c r="B579" s="60">
        <v>580531614</v>
      </c>
      <c r="C579" s="61" t="s">
        <v>476</v>
      </c>
      <c r="D579" s="61" t="s">
        <v>60</v>
      </c>
      <c r="E579" s="53">
        <v>8833</v>
      </c>
      <c r="F579" s="53">
        <v>4417</v>
      </c>
      <c r="G579" s="54">
        <f t="shared" si="40"/>
        <v>0.500056605909657</v>
      </c>
      <c r="H579" s="62">
        <v>18629</v>
      </c>
      <c r="I579" s="63">
        <f t="shared" si="37"/>
        <v>6183.099999999999</v>
      </c>
      <c r="J579" s="63">
        <f t="shared" si="38"/>
        <v>14903.2</v>
      </c>
      <c r="K579" s="172">
        <f t="shared" si="39"/>
        <v>6183</v>
      </c>
      <c r="L579" s="156"/>
      <c r="M579" s="173"/>
      <c r="N579" s="173"/>
      <c r="O579" s="190"/>
      <c r="P579" s="13"/>
    </row>
    <row r="580" spans="1:16" ht="15.75">
      <c r="A580">
        <v>574</v>
      </c>
      <c r="B580" s="60">
        <v>580533677</v>
      </c>
      <c r="C580" s="61" t="s">
        <v>610</v>
      </c>
      <c r="D580" s="61" t="s">
        <v>60</v>
      </c>
      <c r="E580" s="53">
        <v>112811.75</v>
      </c>
      <c r="F580" s="53">
        <v>56406</v>
      </c>
      <c r="G580" s="54">
        <f t="shared" si="40"/>
        <v>0.5000011080406075</v>
      </c>
      <c r="H580" s="62">
        <v>172159</v>
      </c>
      <c r="I580" s="63">
        <f t="shared" si="37"/>
        <v>78968.22499999999</v>
      </c>
      <c r="J580" s="63">
        <f t="shared" si="38"/>
        <v>137727.2</v>
      </c>
      <c r="K580" s="172">
        <f t="shared" si="39"/>
        <v>78968</v>
      </c>
      <c r="L580" s="156"/>
      <c r="M580" s="173"/>
      <c r="N580" s="173"/>
      <c r="O580" s="190"/>
      <c r="P580" s="13"/>
    </row>
    <row r="581" spans="1:16" ht="15.75">
      <c r="A581" s="13">
        <v>575</v>
      </c>
      <c r="B581" s="108">
        <v>580534147</v>
      </c>
      <c r="C581" s="61" t="s">
        <v>760</v>
      </c>
      <c r="D581" s="61" t="s">
        <v>60</v>
      </c>
      <c r="E581" s="53">
        <v>60254.5</v>
      </c>
      <c r="F581" s="53">
        <v>30127</v>
      </c>
      <c r="G581" s="54">
        <f t="shared" si="40"/>
        <v>0.49999585093229554</v>
      </c>
      <c r="H581" s="62">
        <v>71748</v>
      </c>
      <c r="I581" s="63">
        <f aca="true" t="shared" si="41" ref="I581:I644">E581*$I$2</f>
        <v>42178.149999999994</v>
      </c>
      <c r="J581" s="63">
        <f aca="true" t="shared" si="42" ref="J581:J644">H581*$J$2</f>
        <v>57398.4</v>
      </c>
      <c r="K581" s="172">
        <f aca="true" t="shared" si="43" ref="K581:K644">ROUND(IF(IF(MIN(I581,J581)&lt;F581,MIN(I581,J581)-F581,MIN(I581,J581))&lt;0,0,IF(MIN(I581,J581)&lt;F581,MIN(I581,J581)-F581,MIN(I581,J581))),0)</f>
        <v>42178</v>
      </c>
      <c r="L581" s="156"/>
      <c r="M581" s="173"/>
      <c r="N581" s="173"/>
      <c r="O581" s="190"/>
      <c r="P581" s="13"/>
    </row>
    <row r="582" spans="1:16" ht="15.75">
      <c r="A582">
        <v>576</v>
      </c>
      <c r="B582" s="60">
        <v>580535516</v>
      </c>
      <c r="C582" s="61" t="s">
        <v>411</v>
      </c>
      <c r="D582" s="65" t="s">
        <v>63</v>
      </c>
      <c r="E582" s="53">
        <v>106866.25</v>
      </c>
      <c r="F582" s="53">
        <v>53433</v>
      </c>
      <c r="G582" s="54">
        <f t="shared" si="40"/>
        <v>0.49999883031359293</v>
      </c>
      <c r="H582" s="62">
        <v>93054</v>
      </c>
      <c r="I582" s="63">
        <f t="shared" si="41"/>
        <v>74806.375</v>
      </c>
      <c r="J582" s="63">
        <f t="shared" si="42"/>
        <v>74443.2</v>
      </c>
      <c r="K582" s="172">
        <f t="shared" si="43"/>
        <v>74443</v>
      </c>
      <c r="L582" s="156"/>
      <c r="M582" s="173"/>
      <c r="N582" s="173"/>
      <c r="O582" s="190"/>
      <c r="P582" s="13"/>
    </row>
    <row r="583" spans="1:16" ht="15.75">
      <c r="A583" s="13">
        <v>577</v>
      </c>
      <c r="B583" s="60">
        <v>580536316</v>
      </c>
      <c r="C583" s="61" t="s">
        <v>412</v>
      </c>
      <c r="D583" s="65" t="s">
        <v>74</v>
      </c>
      <c r="E583" s="53">
        <v>186892.25</v>
      </c>
      <c r="F583" s="53">
        <v>93446</v>
      </c>
      <c r="G583" s="54">
        <f t="shared" si="40"/>
        <v>0.4999993311654175</v>
      </c>
      <c r="H583" s="62">
        <v>190419</v>
      </c>
      <c r="I583" s="63">
        <f t="shared" si="41"/>
        <v>130824.575</v>
      </c>
      <c r="J583" s="63">
        <f t="shared" si="42"/>
        <v>152335.2</v>
      </c>
      <c r="K583" s="172">
        <f t="shared" si="43"/>
        <v>130825</v>
      </c>
      <c r="L583" s="156"/>
      <c r="M583" s="173"/>
      <c r="N583" s="173"/>
      <c r="O583" s="190"/>
      <c r="P583" s="13"/>
    </row>
    <row r="584" spans="1:16" ht="15.75">
      <c r="A584">
        <v>578</v>
      </c>
      <c r="B584" s="60">
        <v>580536332</v>
      </c>
      <c r="C584" s="60" t="s">
        <v>651</v>
      </c>
      <c r="D584" s="61" t="s">
        <v>63</v>
      </c>
      <c r="E584" s="53">
        <v>63639</v>
      </c>
      <c r="F584" s="53">
        <v>25456</v>
      </c>
      <c r="G584" s="54">
        <f t="shared" si="40"/>
        <v>0.40000628545388833</v>
      </c>
      <c r="H584" s="62">
        <v>119755</v>
      </c>
      <c r="I584" s="63">
        <f t="shared" si="41"/>
        <v>44547.299999999996</v>
      </c>
      <c r="J584" s="63">
        <f t="shared" si="42"/>
        <v>95804</v>
      </c>
      <c r="K584" s="172">
        <f t="shared" si="43"/>
        <v>44547</v>
      </c>
      <c r="L584" s="156"/>
      <c r="M584" s="173"/>
      <c r="N584" s="173"/>
      <c r="O584" s="190"/>
      <c r="P584" s="13"/>
    </row>
    <row r="585" spans="1:16" ht="15.75">
      <c r="A585" s="13">
        <v>579</v>
      </c>
      <c r="B585" s="85">
        <v>580536472</v>
      </c>
      <c r="C585" s="153" t="s">
        <v>734</v>
      </c>
      <c r="D585" s="16" t="s">
        <v>60</v>
      </c>
      <c r="E585" s="53">
        <v>53962</v>
      </c>
      <c r="F585" s="53">
        <v>26981</v>
      </c>
      <c r="G585" s="54">
        <f t="shared" si="40"/>
        <v>0.5</v>
      </c>
      <c r="H585" s="62">
        <v>28285</v>
      </c>
      <c r="I585" s="63">
        <f t="shared" si="41"/>
        <v>37773.399999999994</v>
      </c>
      <c r="J585" s="63">
        <f t="shared" si="42"/>
        <v>22628</v>
      </c>
      <c r="K585" s="172">
        <f t="shared" si="43"/>
        <v>0</v>
      </c>
      <c r="L585" s="156"/>
      <c r="M585" s="173"/>
      <c r="N585" s="173"/>
      <c r="O585" s="190"/>
      <c r="P585" s="13"/>
    </row>
    <row r="586" spans="1:16" ht="15.75">
      <c r="A586">
        <v>580</v>
      </c>
      <c r="B586" s="61">
        <v>580538288</v>
      </c>
      <c r="C586" s="61" t="s">
        <v>221</v>
      </c>
      <c r="D586" s="61" t="s">
        <v>94</v>
      </c>
      <c r="E586" s="53">
        <v>42039</v>
      </c>
      <c r="F586" s="53">
        <v>21020</v>
      </c>
      <c r="G586" s="54">
        <f t="shared" si="40"/>
        <v>0.5000118937177382</v>
      </c>
      <c r="H586" s="62">
        <v>35189</v>
      </c>
      <c r="I586" s="63">
        <f t="shared" si="41"/>
        <v>29427.3</v>
      </c>
      <c r="J586" s="63">
        <f t="shared" si="42"/>
        <v>28151.2</v>
      </c>
      <c r="K586" s="172">
        <f t="shared" si="43"/>
        <v>28151</v>
      </c>
      <c r="L586" s="156"/>
      <c r="M586" s="173"/>
      <c r="N586" s="173"/>
      <c r="O586" s="190"/>
      <c r="P586" s="13"/>
    </row>
    <row r="587" spans="1:16" ht="15.75">
      <c r="A587" s="13">
        <v>581</v>
      </c>
      <c r="B587" s="60">
        <v>580538403</v>
      </c>
      <c r="C587" s="61" t="s">
        <v>579</v>
      </c>
      <c r="D587" s="65" t="s">
        <v>63</v>
      </c>
      <c r="E587" s="53">
        <v>13701</v>
      </c>
      <c r="F587" s="53">
        <v>6851</v>
      </c>
      <c r="G587" s="54">
        <f t="shared" si="40"/>
        <v>0.5000364936865922</v>
      </c>
      <c r="H587" s="62">
        <v>39627</v>
      </c>
      <c r="I587" s="63">
        <f t="shared" si="41"/>
        <v>9590.699999999999</v>
      </c>
      <c r="J587" s="63">
        <f t="shared" si="42"/>
        <v>31701.600000000002</v>
      </c>
      <c r="K587" s="172">
        <f t="shared" si="43"/>
        <v>9591</v>
      </c>
      <c r="L587" s="156"/>
      <c r="M587" s="173"/>
      <c r="N587" s="173"/>
      <c r="O587" s="190"/>
      <c r="P587" s="13"/>
    </row>
    <row r="588" spans="1:16" ht="15.75">
      <c r="A588">
        <v>582</v>
      </c>
      <c r="B588" s="60">
        <v>580538668</v>
      </c>
      <c r="C588" s="61" t="s">
        <v>222</v>
      </c>
      <c r="D588" s="61" t="s">
        <v>60</v>
      </c>
      <c r="E588" s="53">
        <v>63639</v>
      </c>
      <c r="F588" s="53">
        <v>31820</v>
      </c>
      <c r="G588" s="54">
        <f t="shared" si="40"/>
        <v>0.5000078568173604</v>
      </c>
      <c r="H588" s="62">
        <v>81698</v>
      </c>
      <c r="I588" s="63">
        <f t="shared" si="41"/>
        <v>44547.299999999996</v>
      </c>
      <c r="J588" s="63">
        <f t="shared" si="42"/>
        <v>65358.4</v>
      </c>
      <c r="K588" s="172">
        <f t="shared" si="43"/>
        <v>44547</v>
      </c>
      <c r="L588" s="156"/>
      <c r="M588" s="173"/>
      <c r="N588" s="173"/>
      <c r="O588" s="190"/>
      <c r="P588" s="13"/>
    </row>
    <row r="589" spans="1:16" ht="15.75">
      <c r="A589" s="13">
        <v>583</v>
      </c>
      <c r="B589" s="60">
        <v>580539062</v>
      </c>
      <c r="C589" s="61" t="s">
        <v>413</v>
      </c>
      <c r="D589" s="65" t="s">
        <v>63</v>
      </c>
      <c r="E589" s="53">
        <v>219461.5</v>
      </c>
      <c r="F589" s="53">
        <v>109731</v>
      </c>
      <c r="G589" s="54">
        <f t="shared" si="40"/>
        <v>0.5000011391519698</v>
      </c>
      <c r="H589" s="62">
        <v>255232</v>
      </c>
      <c r="I589" s="63">
        <f t="shared" si="41"/>
        <v>153623.05</v>
      </c>
      <c r="J589" s="63">
        <f t="shared" si="42"/>
        <v>204185.6</v>
      </c>
      <c r="K589" s="172">
        <f t="shared" si="43"/>
        <v>153623</v>
      </c>
      <c r="L589" s="156"/>
      <c r="M589" s="173"/>
      <c r="N589" s="173"/>
      <c r="O589" s="190"/>
      <c r="P589" s="13"/>
    </row>
    <row r="590" spans="1:16" ht="15.75">
      <c r="A590">
        <v>584</v>
      </c>
      <c r="B590" s="61">
        <v>580540136</v>
      </c>
      <c r="C590" s="61" t="s">
        <v>223</v>
      </c>
      <c r="D590" s="61" t="s">
        <v>68</v>
      </c>
      <c r="E590" s="53">
        <v>49401</v>
      </c>
      <c r="F590" s="53">
        <v>24701</v>
      </c>
      <c r="G590" s="54">
        <f t="shared" si="40"/>
        <v>0.5000101212526062</v>
      </c>
      <c r="H590" s="62">
        <v>47317</v>
      </c>
      <c r="I590" s="63">
        <f t="shared" si="41"/>
        <v>34580.7</v>
      </c>
      <c r="J590" s="63">
        <f t="shared" si="42"/>
        <v>37853.6</v>
      </c>
      <c r="K590" s="172">
        <f t="shared" si="43"/>
        <v>34581</v>
      </c>
      <c r="L590" s="156"/>
      <c r="M590" s="173"/>
      <c r="N590" s="173"/>
      <c r="O590" s="190"/>
      <c r="P590" s="13"/>
    </row>
    <row r="591" spans="1:16" ht="15.75">
      <c r="A591" s="13">
        <v>585</v>
      </c>
      <c r="B591" s="60">
        <v>580540391</v>
      </c>
      <c r="C591" s="61" t="s">
        <v>224</v>
      </c>
      <c r="D591" s="65" t="s">
        <v>63</v>
      </c>
      <c r="E591" s="53">
        <v>32239.25</v>
      </c>
      <c r="F591" s="53">
        <v>12896</v>
      </c>
      <c r="G591" s="54">
        <f t="shared" si="40"/>
        <v>0.40000930542739055</v>
      </c>
      <c r="H591" s="62">
        <v>28313</v>
      </c>
      <c r="I591" s="63">
        <f t="shared" si="41"/>
        <v>22567.475</v>
      </c>
      <c r="J591" s="63">
        <f t="shared" si="42"/>
        <v>22650.4</v>
      </c>
      <c r="K591" s="172">
        <f t="shared" si="43"/>
        <v>22567</v>
      </c>
      <c r="L591" s="156"/>
      <c r="M591" s="173"/>
      <c r="N591" s="173"/>
      <c r="O591" s="190"/>
      <c r="P591" s="13"/>
    </row>
    <row r="592" spans="1:16" ht="15.75">
      <c r="A592">
        <v>586</v>
      </c>
      <c r="B592" s="60">
        <v>580541191</v>
      </c>
      <c r="C592" s="61" t="s">
        <v>225</v>
      </c>
      <c r="D592" s="61" t="s">
        <v>60</v>
      </c>
      <c r="E592" s="53">
        <v>71702</v>
      </c>
      <c r="F592" s="53">
        <v>35851</v>
      </c>
      <c r="G592" s="54">
        <f t="shared" si="40"/>
        <v>0.5</v>
      </c>
      <c r="H592" s="62">
        <v>75167</v>
      </c>
      <c r="I592" s="63">
        <f t="shared" si="41"/>
        <v>50191.399999999994</v>
      </c>
      <c r="J592" s="63">
        <f t="shared" si="42"/>
        <v>60133.600000000006</v>
      </c>
      <c r="K592" s="172">
        <f t="shared" si="43"/>
        <v>50191</v>
      </c>
      <c r="L592" s="156"/>
      <c r="M592" s="173"/>
      <c r="N592" s="173"/>
      <c r="O592" s="190"/>
      <c r="P592" s="13"/>
    </row>
    <row r="593" spans="1:16" ht="15.75">
      <c r="A593" s="13">
        <v>587</v>
      </c>
      <c r="B593" s="60">
        <v>580541332</v>
      </c>
      <c r="C593" s="61" t="s">
        <v>305</v>
      </c>
      <c r="D593" s="65" t="s">
        <v>63</v>
      </c>
      <c r="E593" s="53">
        <v>139928</v>
      </c>
      <c r="F593" s="53">
        <v>55971</v>
      </c>
      <c r="G593" s="54">
        <f t="shared" si="40"/>
        <v>0.39999857069349953</v>
      </c>
      <c r="H593" s="62">
        <v>125218</v>
      </c>
      <c r="I593" s="63">
        <f t="shared" si="41"/>
        <v>97949.59999999999</v>
      </c>
      <c r="J593" s="63">
        <f t="shared" si="42"/>
        <v>100174.40000000001</v>
      </c>
      <c r="K593" s="172">
        <f t="shared" si="43"/>
        <v>97950</v>
      </c>
      <c r="L593" s="156"/>
      <c r="M593" s="173"/>
      <c r="N593" s="173"/>
      <c r="O593" s="190"/>
      <c r="P593" s="13"/>
    </row>
    <row r="594" spans="1:16" ht="30">
      <c r="A594">
        <v>588</v>
      </c>
      <c r="B594" s="61">
        <v>580541647</v>
      </c>
      <c r="C594" s="78" t="s">
        <v>545</v>
      </c>
      <c r="D594" s="61" t="s">
        <v>94</v>
      </c>
      <c r="E594" s="53">
        <v>72658.25</v>
      </c>
      <c r="F594" s="53">
        <v>36329</v>
      </c>
      <c r="G594" s="54">
        <f t="shared" si="40"/>
        <v>0.49999827961724924</v>
      </c>
      <c r="H594" s="62">
        <v>102338</v>
      </c>
      <c r="I594" s="63">
        <f t="shared" si="41"/>
        <v>50860.774999999994</v>
      </c>
      <c r="J594" s="63">
        <f t="shared" si="42"/>
        <v>81870.40000000001</v>
      </c>
      <c r="K594" s="172">
        <f t="shared" si="43"/>
        <v>50861</v>
      </c>
      <c r="L594" s="156"/>
      <c r="M594" s="173"/>
      <c r="N594" s="173"/>
      <c r="O594" s="190"/>
      <c r="P594" s="13"/>
    </row>
    <row r="595" spans="1:16" ht="15.75">
      <c r="A595" s="13">
        <v>589</v>
      </c>
      <c r="B595" s="108">
        <v>580542421</v>
      </c>
      <c r="C595" s="61" t="s">
        <v>751</v>
      </c>
      <c r="D595" s="61" t="s">
        <v>60</v>
      </c>
      <c r="E595" s="53">
        <v>18431.25</v>
      </c>
      <c r="F595" s="53">
        <v>9216</v>
      </c>
      <c r="G595" s="54">
        <f t="shared" si="40"/>
        <v>0.5000203458799594</v>
      </c>
      <c r="H595" s="62">
        <v>29636</v>
      </c>
      <c r="I595" s="63">
        <f t="shared" si="41"/>
        <v>12901.875</v>
      </c>
      <c r="J595" s="63">
        <f t="shared" si="42"/>
        <v>23708.800000000003</v>
      </c>
      <c r="K595" s="172">
        <f t="shared" si="43"/>
        <v>12902</v>
      </c>
      <c r="L595" s="156"/>
      <c r="M595" s="173"/>
      <c r="N595" s="173"/>
      <c r="O595" s="190"/>
      <c r="P595" s="13"/>
    </row>
    <row r="596" spans="1:16" ht="15.75">
      <c r="A596">
        <v>590</v>
      </c>
      <c r="B596" s="60">
        <v>580542710</v>
      </c>
      <c r="C596" s="61" t="s">
        <v>580</v>
      </c>
      <c r="D596" s="61" t="s">
        <v>60</v>
      </c>
      <c r="E596" s="53">
        <v>166357</v>
      </c>
      <c r="F596" s="53">
        <v>83179</v>
      </c>
      <c r="G596" s="54">
        <f t="shared" si="40"/>
        <v>0.5000030055843757</v>
      </c>
      <c r="H596" s="62">
        <v>186416</v>
      </c>
      <c r="I596" s="63">
        <f t="shared" si="41"/>
        <v>116449.9</v>
      </c>
      <c r="J596" s="63">
        <f t="shared" si="42"/>
        <v>149132.80000000002</v>
      </c>
      <c r="K596" s="172">
        <f t="shared" si="43"/>
        <v>116450</v>
      </c>
      <c r="L596" s="156"/>
      <c r="M596" s="173"/>
      <c r="N596" s="173"/>
      <c r="O596" s="190"/>
      <c r="P596" s="13"/>
    </row>
    <row r="597" spans="1:16" ht="15.75">
      <c r="A597" s="13">
        <v>591</v>
      </c>
      <c r="B597" s="60">
        <v>580542710</v>
      </c>
      <c r="C597" s="61" t="s">
        <v>580</v>
      </c>
      <c r="D597" s="61" t="s">
        <v>60</v>
      </c>
      <c r="E597" s="53">
        <v>208279.5</v>
      </c>
      <c r="F597" s="53">
        <v>41923</v>
      </c>
      <c r="G597" s="54">
        <f t="shared" si="40"/>
        <v>0.20128241137509933</v>
      </c>
      <c r="H597" s="62">
        <v>186416</v>
      </c>
      <c r="I597" s="63">
        <f t="shared" si="41"/>
        <v>145795.65</v>
      </c>
      <c r="J597" s="63">
        <f t="shared" si="42"/>
        <v>149132.80000000002</v>
      </c>
      <c r="K597" s="172">
        <f t="shared" si="43"/>
        <v>145796</v>
      </c>
      <c r="L597" s="156"/>
      <c r="M597" s="173"/>
      <c r="N597" s="173"/>
      <c r="O597" s="190"/>
      <c r="P597" s="13"/>
    </row>
    <row r="598" spans="1:16" ht="15.75">
      <c r="A598">
        <v>592</v>
      </c>
      <c r="B598" s="60">
        <v>580543320</v>
      </c>
      <c r="C598" s="61" t="s">
        <v>546</v>
      </c>
      <c r="D598" s="61" t="s">
        <v>60</v>
      </c>
      <c r="E598" s="53">
        <v>156787.25</v>
      </c>
      <c r="F598" s="53">
        <v>78394</v>
      </c>
      <c r="G598" s="54">
        <f t="shared" si="40"/>
        <v>0.500002391776117</v>
      </c>
      <c r="H598" s="62">
        <v>212805</v>
      </c>
      <c r="I598" s="63">
        <f t="shared" si="41"/>
        <v>109751.075</v>
      </c>
      <c r="J598" s="63">
        <f t="shared" si="42"/>
        <v>170244</v>
      </c>
      <c r="K598" s="172">
        <f t="shared" si="43"/>
        <v>109751</v>
      </c>
      <c r="L598" s="156"/>
      <c r="M598" s="173"/>
      <c r="N598" s="173"/>
      <c r="O598" s="190"/>
      <c r="P598" s="13"/>
    </row>
    <row r="599" spans="1:16" ht="15.75">
      <c r="A599" s="13">
        <v>593</v>
      </c>
      <c r="B599" s="61">
        <v>580543585</v>
      </c>
      <c r="C599" s="61" t="s">
        <v>770</v>
      </c>
      <c r="D599" s="61" t="s">
        <v>72</v>
      </c>
      <c r="E599" s="53">
        <v>74006.5</v>
      </c>
      <c r="F599" s="53">
        <v>37003</v>
      </c>
      <c r="G599" s="54">
        <f t="shared" si="40"/>
        <v>0.499996621918345</v>
      </c>
      <c r="H599" s="62">
        <v>47672</v>
      </c>
      <c r="I599" s="63">
        <f t="shared" si="41"/>
        <v>51804.549999999996</v>
      </c>
      <c r="J599" s="63">
        <f t="shared" si="42"/>
        <v>38137.6</v>
      </c>
      <c r="K599" s="172">
        <f t="shared" si="43"/>
        <v>38138</v>
      </c>
      <c r="L599" s="156"/>
      <c r="M599" s="173"/>
      <c r="N599" s="173"/>
      <c r="O599" s="190"/>
      <c r="P599" s="13"/>
    </row>
    <row r="600" spans="1:16" ht="15.75">
      <c r="A600">
        <v>594</v>
      </c>
      <c r="B600" s="85">
        <v>580543858</v>
      </c>
      <c r="C600" s="61" t="s">
        <v>581</v>
      </c>
      <c r="D600" s="65" t="s">
        <v>63</v>
      </c>
      <c r="E600" s="53">
        <v>147312.25</v>
      </c>
      <c r="F600" s="53">
        <v>58925</v>
      </c>
      <c r="G600" s="54">
        <f t="shared" si="40"/>
        <v>0.400000678830172</v>
      </c>
      <c r="H600" s="62">
        <v>197089</v>
      </c>
      <c r="I600" s="63">
        <f t="shared" si="41"/>
        <v>103118.575</v>
      </c>
      <c r="J600" s="63">
        <f t="shared" si="42"/>
        <v>157671.2</v>
      </c>
      <c r="K600" s="172">
        <f t="shared" si="43"/>
        <v>103119</v>
      </c>
      <c r="L600" s="156"/>
      <c r="M600" s="173"/>
      <c r="N600" s="173"/>
      <c r="O600" s="190"/>
      <c r="P600" s="13"/>
    </row>
    <row r="601" spans="1:16" ht="15.75">
      <c r="A601" s="13">
        <v>595</v>
      </c>
      <c r="B601" s="60">
        <v>580544195</v>
      </c>
      <c r="C601" s="61" t="s">
        <v>226</v>
      </c>
      <c r="D601" s="65" t="s">
        <v>63</v>
      </c>
      <c r="E601" s="53">
        <v>121975.25</v>
      </c>
      <c r="F601" s="53">
        <v>60988</v>
      </c>
      <c r="G601" s="54">
        <f t="shared" si="40"/>
        <v>0.5000030743941907</v>
      </c>
      <c r="H601" s="62">
        <v>125690</v>
      </c>
      <c r="I601" s="63">
        <f t="shared" si="41"/>
        <v>85382.67499999999</v>
      </c>
      <c r="J601" s="63">
        <f t="shared" si="42"/>
        <v>100552</v>
      </c>
      <c r="K601" s="172">
        <f t="shared" si="43"/>
        <v>85383</v>
      </c>
      <c r="L601" s="156"/>
      <c r="M601" s="173"/>
      <c r="N601" s="173"/>
      <c r="O601" s="190"/>
      <c r="P601" s="13"/>
    </row>
    <row r="602" spans="1:16" ht="15.75">
      <c r="A602">
        <v>596</v>
      </c>
      <c r="B602" s="60">
        <v>580545523</v>
      </c>
      <c r="C602" s="61" t="s">
        <v>227</v>
      </c>
      <c r="D602" s="65" t="s">
        <v>63</v>
      </c>
      <c r="E602" s="53">
        <v>211913</v>
      </c>
      <c r="F602" s="53">
        <v>105957</v>
      </c>
      <c r="G602" s="54">
        <f t="shared" si="40"/>
        <v>0.5000023594588345</v>
      </c>
      <c r="H602" s="62">
        <v>156240</v>
      </c>
      <c r="I602" s="63">
        <f t="shared" si="41"/>
        <v>148339.09999999998</v>
      </c>
      <c r="J602" s="63">
        <f t="shared" si="42"/>
        <v>124992</v>
      </c>
      <c r="K602" s="172">
        <f t="shared" si="43"/>
        <v>124992</v>
      </c>
      <c r="L602" s="156"/>
      <c r="M602" s="173"/>
      <c r="N602" s="173"/>
      <c r="O602" s="190"/>
      <c r="P602" s="13"/>
    </row>
    <row r="603" spans="1:16" ht="15.75">
      <c r="A603" s="13">
        <v>597</v>
      </c>
      <c r="B603" s="60">
        <v>580545846</v>
      </c>
      <c r="C603" s="61" t="s">
        <v>712</v>
      </c>
      <c r="D603" s="65" t="s">
        <v>63</v>
      </c>
      <c r="E603" s="53">
        <v>31596</v>
      </c>
      <c r="F603" s="53">
        <v>15798</v>
      </c>
      <c r="G603" s="54">
        <f t="shared" si="40"/>
        <v>0.5</v>
      </c>
      <c r="H603" s="62">
        <v>12310</v>
      </c>
      <c r="I603" s="63">
        <f t="shared" si="41"/>
        <v>22117.199999999997</v>
      </c>
      <c r="J603" s="63">
        <f t="shared" si="42"/>
        <v>9848</v>
      </c>
      <c r="K603" s="172">
        <f t="shared" si="43"/>
        <v>0</v>
      </c>
      <c r="L603" s="156"/>
      <c r="M603" s="173"/>
      <c r="N603" s="173"/>
      <c r="O603" s="190"/>
      <c r="P603" s="13"/>
    </row>
    <row r="604" spans="1:16" ht="15.75">
      <c r="A604">
        <v>598</v>
      </c>
      <c r="B604" s="60">
        <v>580546091</v>
      </c>
      <c r="C604" s="61" t="s">
        <v>547</v>
      </c>
      <c r="D604" s="61" t="s">
        <v>60</v>
      </c>
      <c r="E604" s="53">
        <v>53916</v>
      </c>
      <c r="F604" s="53">
        <v>26958</v>
      </c>
      <c r="G604" s="54">
        <f t="shared" si="40"/>
        <v>0.5</v>
      </c>
      <c r="H604" s="62">
        <v>63892</v>
      </c>
      <c r="I604" s="63">
        <f t="shared" si="41"/>
        <v>37741.2</v>
      </c>
      <c r="J604" s="63">
        <f t="shared" si="42"/>
        <v>51113.600000000006</v>
      </c>
      <c r="K604" s="172">
        <f t="shared" si="43"/>
        <v>37741</v>
      </c>
      <c r="L604" s="156"/>
      <c r="M604" s="173"/>
      <c r="N604" s="173"/>
      <c r="O604" s="190"/>
      <c r="P604" s="13"/>
    </row>
    <row r="605" spans="1:16" ht="15.75">
      <c r="A605" s="13">
        <v>599</v>
      </c>
      <c r="B605" s="60">
        <v>580546323</v>
      </c>
      <c r="C605" s="61" t="s">
        <v>548</v>
      </c>
      <c r="D605" s="65" t="s">
        <v>63</v>
      </c>
      <c r="E605" s="53">
        <v>169704.75</v>
      </c>
      <c r="F605" s="53">
        <v>84852</v>
      </c>
      <c r="G605" s="54">
        <f t="shared" si="40"/>
        <v>0.49999779027988317</v>
      </c>
      <c r="H605" s="62">
        <v>253300</v>
      </c>
      <c r="I605" s="63">
        <f t="shared" si="41"/>
        <v>118793.325</v>
      </c>
      <c r="J605" s="63">
        <f t="shared" si="42"/>
        <v>202640</v>
      </c>
      <c r="K605" s="172">
        <f t="shared" si="43"/>
        <v>118793</v>
      </c>
      <c r="L605" s="156"/>
      <c r="M605" s="173"/>
      <c r="N605" s="173"/>
      <c r="O605" s="190"/>
      <c r="P605" s="13"/>
    </row>
    <row r="606" spans="1:16" ht="15.75">
      <c r="A606">
        <v>600</v>
      </c>
      <c r="B606" s="60">
        <v>580546646</v>
      </c>
      <c r="C606" s="61" t="s">
        <v>228</v>
      </c>
      <c r="D606" s="61" t="s">
        <v>60</v>
      </c>
      <c r="E606" s="53">
        <v>214171.75</v>
      </c>
      <c r="F606" s="53">
        <v>107086</v>
      </c>
      <c r="G606" s="54">
        <f t="shared" si="40"/>
        <v>0.5000005836437346</v>
      </c>
      <c r="H606" s="62">
        <v>227806</v>
      </c>
      <c r="I606" s="63">
        <f t="shared" si="41"/>
        <v>149920.22499999998</v>
      </c>
      <c r="J606" s="63">
        <f t="shared" si="42"/>
        <v>182244.80000000002</v>
      </c>
      <c r="K606" s="172">
        <f t="shared" si="43"/>
        <v>149920</v>
      </c>
      <c r="L606" s="156"/>
      <c r="M606" s="173"/>
      <c r="N606" s="173"/>
      <c r="O606" s="190"/>
      <c r="P606" s="13"/>
    </row>
    <row r="607" spans="1:16" ht="15.75">
      <c r="A607" s="13">
        <v>601</v>
      </c>
      <c r="B607" s="60">
        <v>580546695</v>
      </c>
      <c r="C607" s="61" t="s">
        <v>477</v>
      </c>
      <c r="D607" s="61" t="s">
        <v>60</v>
      </c>
      <c r="E607" s="53">
        <v>86914.5</v>
      </c>
      <c r="F607" s="53">
        <v>43457</v>
      </c>
      <c r="G607" s="54">
        <f t="shared" si="40"/>
        <v>0.49999712360998455</v>
      </c>
      <c r="H607" s="62">
        <v>102996</v>
      </c>
      <c r="I607" s="63">
        <f t="shared" si="41"/>
        <v>60840.149999999994</v>
      </c>
      <c r="J607" s="63">
        <f t="shared" si="42"/>
        <v>82396.8</v>
      </c>
      <c r="K607" s="172">
        <f t="shared" si="43"/>
        <v>60840</v>
      </c>
      <c r="L607" s="156"/>
      <c r="M607" s="173"/>
      <c r="N607" s="173"/>
      <c r="O607" s="190"/>
      <c r="P607" s="13"/>
    </row>
    <row r="608" spans="1:16" ht="15.75">
      <c r="A608">
        <v>602</v>
      </c>
      <c r="B608" s="60">
        <v>580546851</v>
      </c>
      <c r="C608" s="61" t="s">
        <v>414</v>
      </c>
      <c r="D608" s="65" t="s">
        <v>63</v>
      </c>
      <c r="E608" s="53">
        <v>27512</v>
      </c>
      <c r="F608" s="53">
        <v>13756</v>
      </c>
      <c r="G608" s="54">
        <f t="shared" si="40"/>
        <v>0.5</v>
      </c>
      <c r="H608" s="62">
        <v>11724</v>
      </c>
      <c r="I608" s="63">
        <f t="shared" si="41"/>
        <v>19258.399999999998</v>
      </c>
      <c r="J608" s="63">
        <f t="shared" si="42"/>
        <v>9379.2</v>
      </c>
      <c r="K608" s="172">
        <f t="shared" si="43"/>
        <v>0</v>
      </c>
      <c r="L608" s="156"/>
      <c r="M608" s="173"/>
      <c r="N608" s="173"/>
      <c r="O608" s="190"/>
      <c r="P608" s="13"/>
    </row>
    <row r="609" spans="1:16" ht="15.75">
      <c r="A609" s="13">
        <v>603</v>
      </c>
      <c r="B609" s="85">
        <v>580546992</v>
      </c>
      <c r="C609" s="61" t="s">
        <v>582</v>
      </c>
      <c r="D609" s="61" t="s">
        <v>60</v>
      </c>
      <c r="E609" s="53">
        <v>94412</v>
      </c>
      <c r="F609" s="53">
        <v>37765</v>
      </c>
      <c r="G609" s="54">
        <f t="shared" si="40"/>
        <v>0.4000021183747829</v>
      </c>
      <c r="H609" s="62">
        <v>126737</v>
      </c>
      <c r="I609" s="63">
        <f t="shared" si="41"/>
        <v>66088.4</v>
      </c>
      <c r="J609" s="63">
        <f t="shared" si="42"/>
        <v>101389.6</v>
      </c>
      <c r="K609" s="172">
        <f t="shared" si="43"/>
        <v>66088</v>
      </c>
      <c r="L609" s="156"/>
      <c r="M609" s="173"/>
      <c r="N609" s="173"/>
      <c r="O609" s="190"/>
      <c r="P609" s="13"/>
    </row>
    <row r="610" spans="1:16" ht="15.75">
      <c r="A610">
        <v>604</v>
      </c>
      <c r="B610" s="60">
        <v>580547578</v>
      </c>
      <c r="C610" s="61" t="s">
        <v>229</v>
      </c>
      <c r="D610" s="65" t="s">
        <v>63</v>
      </c>
      <c r="E610" s="53">
        <v>10870.5</v>
      </c>
      <c r="F610" s="53">
        <v>5435</v>
      </c>
      <c r="G610" s="54">
        <f t="shared" si="40"/>
        <v>0.4999770019778299</v>
      </c>
      <c r="H610" s="62">
        <v>19012</v>
      </c>
      <c r="I610" s="63">
        <f t="shared" si="41"/>
        <v>7609.349999999999</v>
      </c>
      <c r="J610" s="63">
        <f t="shared" si="42"/>
        <v>15209.6</v>
      </c>
      <c r="K610" s="172">
        <f t="shared" si="43"/>
        <v>7609</v>
      </c>
      <c r="L610" s="156"/>
      <c r="M610" s="173"/>
      <c r="N610" s="173"/>
      <c r="O610" s="190"/>
      <c r="P610" s="13"/>
    </row>
    <row r="611" spans="1:16" ht="15">
      <c r="A611" s="13">
        <v>605</v>
      </c>
      <c r="B611" s="89">
        <v>580548311</v>
      </c>
      <c r="C611" s="90" t="s">
        <v>415</v>
      </c>
      <c r="D611" s="90" t="s">
        <v>72</v>
      </c>
      <c r="E611" s="53">
        <v>58185.5</v>
      </c>
      <c r="F611" s="53">
        <v>29093</v>
      </c>
      <c r="G611" s="54">
        <f t="shared" si="40"/>
        <v>0.5000042966031056</v>
      </c>
      <c r="H611" s="62">
        <v>12109</v>
      </c>
      <c r="I611" s="63">
        <f t="shared" si="41"/>
        <v>40729.85</v>
      </c>
      <c r="J611" s="63">
        <f t="shared" si="42"/>
        <v>9687.2</v>
      </c>
      <c r="K611" s="172">
        <f t="shared" si="43"/>
        <v>0</v>
      </c>
      <c r="L611" s="156"/>
      <c r="M611" s="173"/>
      <c r="N611" s="173"/>
      <c r="O611" s="190"/>
      <c r="P611" s="13"/>
    </row>
    <row r="612" spans="1:16" ht="15.75">
      <c r="A612">
        <v>606</v>
      </c>
      <c r="B612" s="60">
        <v>580548717</v>
      </c>
      <c r="C612" s="61" t="s">
        <v>230</v>
      </c>
      <c r="D612" s="61" t="s">
        <v>60</v>
      </c>
      <c r="E612" s="53">
        <v>51739</v>
      </c>
      <c r="F612" s="53">
        <v>25870</v>
      </c>
      <c r="G612" s="54">
        <f t="shared" si="40"/>
        <v>0.500009663889909</v>
      </c>
      <c r="H612" s="62">
        <v>55711</v>
      </c>
      <c r="I612" s="63">
        <f t="shared" si="41"/>
        <v>36217.299999999996</v>
      </c>
      <c r="J612" s="63">
        <f t="shared" si="42"/>
        <v>44568.8</v>
      </c>
      <c r="K612" s="172">
        <f t="shared" si="43"/>
        <v>36217</v>
      </c>
      <c r="L612" s="156"/>
      <c r="M612" s="173"/>
      <c r="N612" s="173"/>
      <c r="O612" s="190"/>
      <c r="P612" s="13"/>
    </row>
    <row r="613" spans="1:16" ht="15.75">
      <c r="A613" s="13">
        <v>607</v>
      </c>
      <c r="B613" s="60">
        <v>580548907</v>
      </c>
      <c r="C613" s="61" t="s">
        <v>416</v>
      </c>
      <c r="D613" s="61" t="s">
        <v>60</v>
      </c>
      <c r="E613" s="53">
        <v>259282.25</v>
      </c>
      <c r="F613" s="53">
        <v>129641</v>
      </c>
      <c r="G613" s="54">
        <f t="shared" si="40"/>
        <v>0.49999951789989483</v>
      </c>
      <c r="H613" s="62">
        <v>338790</v>
      </c>
      <c r="I613" s="63">
        <f t="shared" si="41"/>
        <v>181497.57499999998</v>
      </c>
      <c r="J613" s="63">
        <f t="shared" si="42"/>
        <v>271032</v>
      </c>
      <c r="K613" s="172">
        <f t="shared" si="43"/>
        <v>181498</v>
      </c>
      <c r="L613" s="156"/>
      <c r="M613" s="173"/>
      <c r="N613" s="173"/>
      <c r="O613" s="190"/>
      <c r="P613" s="13"/>
    </row>
    <row r="614" spans="1:16" ht="15.75">
      <c r="A614">
        <v>608</v>
      </c>
      <c r="B614" s="108">
        <v>580549483</v>
      </c>
      <c r="C614" s="61" t="s">
        <v>761</v>
      </c>
      <c r="D614" s="61" t="s">
        <v>72</v>
      </c>
      <c r="E614" s="53">
        <v>55070.25</v>
      </c>
      <c r="F614" s="53">
        <v>27535</v>
      </c>
      <c r="G614" s="54">
        <f t="shared" si="40"/>
        <v>0.4999977301719168</v>
      </c>
      <c r="H614" s="62">
        <v>55513</v>
      </c>
      <c r="I614" s="63">
        <f t="shared" si="41"/>
        <v>38549.174999999996</v>
      </c>
      <c r="J614" s="63">
        <f t="shared" si="42"/>
        <v>44410.4</v>
      </c>
      <c r="K614" s="172">
        <f t="shared" si="43"/>
        <v>38549</v>
      </c>
      <c r="L614" s="156"/>
      <c r="M614" s="173"/>
      <c r="N614" s="173"/>
      <c r="O614" s="190"/>
      <c r="P614" s="13"/>
    </row>
    <row r="615" spans="1:16" ht="15.75">
      <c r="A615" s="13">
        <v>609</v>
      </c>
      <c r="B615" s="60">
        <v>580549558</v>
      </c>
      <c r="C615" s="61" t="s">
        <v>231</v>
      </c>
      <c r="D615" s="61" t="s">
        <v>60</v>
      </c>
      <c r="E615" s="53">
        <v>54764</v>
      </c>
      <c r="F615" s="53">
        <v>27382</v>
      </c>
      <c r="G615" s="54">
        <f t="shared" si="40"/>
        <v>0.5</v>
      </c>
      <c r="H615" s="62">
        <v>44568</v>
      </c>
      <c r="I615" s="63">
        <f t="shared" si="41"/>
        <v>38334.799999999996</v>
      </c>
      <c r="J615" s="63">
        <f t="shared" si="42"/>
        <v>35654.4</v>
      </c>
      <c r="K615" s="172">
        <f t="shared" si="43"/>
        <v>35654</v>
      </c>
      <c r="L615" s="156"/>
      <c r="M615" s="173"/>
      <c r="N615" s="173"/>
      <c r="O615" s="190"/>
      <c r="P615" s="13"/>
    </row>
    <row r="616" spans="1:16" ht="15.75">
      <c r="A616">
        <v>610</v>
      </c>
      <c r="B616" s="61">
        <v>580550374</v>
      </c>
      <c r="C616" s="61" t="s">
        <v>583</v>
      </c>
      <c r="D616" s="61" t="s">
        <v>68</v>
      </c>
      <c r="E616" s="53">
        <v>12915.25</v>
      </c>
      <c r="F616" s="53">
        <v>6458</v>
      </c>
      <c r="G616" s="54">
        <f t="shared" si="40"/>
        <v>0.5000290354425969</v>
      </c>
      <c r="H616" s="62">
        <v>25173</v>
      </c>
      <c r="I616" s="63">
        <f t="shared" si="41"/>
        <v>9040.675</v>
      </c>
      <c r="J616" s="63">
        <f t="shared" si="42"/>
        <v>20138.4</v>
      </c>
      <c r="K616" s="172">
        <f t="shared" si="43"/>
        <v>9041</v>
      </c>
      <c r="L616" s="156"/>
      <c r="M616" s="173"/>
      <c r="N616" s="173"/>
      <c r="O616" s="190"/>
      <c r="P616" s="13"/>
    </row>
    <row r="617" spans="1:16" ht="15.75">
      <c r="A617" s="13">
        <v>611</v>
      </c>
      <c r="B617" s="60">
        <v>580550432</v>
      </c>
      <c r="C617" s="61" t="s">
        <v>417</v>
      </c>
      <c r="D617" s="65" t="s">
        <v>63</v>
      </c>
      <c r="E617" s="53">
        <v>138093</v>
      </c>
      <c r="F617" s="53">
        <v>69047</v>
      </c>
      <c r="G617" s="54">
        <f t="shared" si="40"/>
        <v>0.5000036207483363</v>
      </c>
      <c r="H617" s="62">
        <v>144765</v>
      </c>
      <c r="I617" s="63">
        <f t="shared" si="41"/>
        <v>96665.09999999999</v>
      </c>
      <c r="J617" s="63">
        <f t="shared" si="42"/>
        <v>115812</v>
      </c>
      <c r="K617" s="172">
        <f t="shared" si="43"/>
        <v>96665</v>
      </c>
      <c r="L617" s="156"/>
      <c r="M617" s="173"/>
      <c r="N617" s="173"/>
      <c r="O617" s="190"/>
      <c r="P617" s="13"/>
    </row>
    <row r="618" spans="1:16" ht="15.75">
      <c r="A618">
        <v>612</v>
      </c>
      <c r="B618" s="101">
        <v>580551109</v>
      </c>
      <c r="C618" s="103" t="s">
        <v>674</v>
      </c>
      <c r="D618" s="103" t="s">
        <v>60</v>
      </c>
      <c r="E618" s="53">
        <v>109730</v>
      </c>
      <c r="F618" s="53">
        <v>54865</v>
      </c>
      <c r="G618" s="54">
        <f t="shared" si="40"/>
        <v>0.5</v>
      </c>
      <c r="H618" s="62">
        <v>104120</v>
      </c>
      <c r="I618" s="63">
        <f t="shared" si="41"/>
        <v>76811</v>
      </c>
      <c r="J618" s="63">
        <f t="shared" si="42"/>
        <v>83296</v>
      </c>
      <c r="K618" s="172">
        <f t="shared" si="43"/>
        <v>76811</v>
      </c>
      <c r="L618" s="156"/>
      <c r="M618" s="173"/>
      <c r="N618" s="173"/>
      <c r="O618" s="190"/>
      <c r="P618" s="13"/>
    </row>
    <row r="619" spans="1:16" ht="15.75">
      <c r="A619" s="13">
        <v>613</v>
      </c>
      <c r="B619" s="60">
        <v>580551323</v>
      </c>
      <c r="C619" s="61" t="s">
        <v>418</v>
      </c>
      <c r="D619" s="61" t="s">
        <v>60</v>
      </c>
      <c r="E619" s="53">
        <v>174878.25</v>
      </c>
      <c r="F619" s="53">
        <v>87439</v>
      </c>
      <c r="G619" s="54">
        <f t="shared" si="40"/>
        <v>0.499999285217001</v>
      </c>
      <c r="H619" s="62">
        <v>175677</v>
      </c>
      <c r="I619" s="63">
        <f t="shared" si="41"/>
        <v>122414.775</v>
      </c>
      <c r="J619" s="63">
        <f t="shared" si="42"/>
        <v>140541.6</v>
      </c>
      <c r="K619" s="172">
        <f t="shared" si="43"/>
        <v>122415</v>
      </c>
      <c r="L619" s="156"/>
      <c r="M619" s="173"/>
      <c r="N619" s="173"/>
      <c r="O619" s="190"/>
      <c r="P619" s="13"/>
    </row>
    <row r="620" spans="1:16" ht="15.75">
      <c r="A620">
        <v>614</v>
      </c>
      <c r="B620" s="60">
        <v>580551588</v>
      </c>
      <c r="C620" s="60" t="s">
        <v>652</v>
      </c>
      <c r="D620" s="61" t="s">
        <v>72</v>
      </c>
      <c r="E620" s="53">
        <v>118487.25</v>
      </c>
      <c r="F620" s="53">
        <v>59244</v>
      </c>
      <c r="G620" s="54">
        <f t="shared" si="40"/>
        <v>0.500003164897489</v>
      </c>
      <c r="H620" s="62">
        <v>99049</v>
      </c>
      <c r="I620" s="63">
        <f t="shared" si="41"/>
        <v>82941.075</v>
      </c>
      <c r="J620" s="63">
        <f t="shared" si="42"/>
        <v>79239.20000000001</v>
      </c>
      <c r="K620" s="172">
        <f t="shared" si="43"/>
        <v>79239</v>
      </c>
      <c r="L620" s="156"/>
      <c r="M620" s="173"/>
      <c r="N620" s="173"/>
      <c r="O620" s="190"/>
      <c r="P620" s="13"/>
    </row>
    <row r="621" spans="1:16" ht="15.75">
      <c r="A621" s="13">
        <v>615</v>
      </c>
      <c r="B621" s="60">
        <v>580551802</v>
      </c>
      <c r="C621" s="61" t="s">
        <v>491</v>
      </c>
      <c r="D621" s="65" t="s">
        <v>60</v>
      </c>
      <c r="E621" s="53">
        <v>56617.5</v>
      </c>
      <c r="F621" s="53">
        <v>28309</v>
      </c>
      <c r="G621" s="54">
        <f t="shared" si="40"/>
        <v>0.5000044155958847</v>
      </c>
      <c r="H621" s="62">
        <v>48886</v>
      </c>
      <c r="I621" s="63">
        <f t="shared" si="41"/>
        <v>39632.25</v>
      </c>
      <c r="J621" s="63">
        <f t="shared" si="42"/>
        <v>39108.8</v>
      </c>
      <c r="K621" s="172">
        <f t="shared" si="43"/>
        <v>39109</v>
      </c>
      <c r="L621" s="156"/>
      <c r="M621" s="173"/>
      <c r="N621" s="173"/>
      <c r="O621" s="190"/>
      <c r="P621" s="13"/>
    </row>
    <row r="622" spans="1:16" ht="15.75">
      <c r="A622">
        <v>616</v>
      </c>
      <c r="B622" s="101">
        <v>580552107</v>
      </c>
      <c r="C622" s="102" t="s">
        <v>676</v>
      </c>
      <c r="D622" s="102" t="s">
        <v>63</v>
      </c>
      <c r="E622" s="53">
        <v>6928</v>
      </c>
      <c r="F622" s="53">
        <v>3464</v>
      </c>
      <c r="G622" s="54">
        <f t="shared" si="40"/>
        <v>0.5</v>
      </c>
      <c r="H622" s="62">
        <v>3862</v>
      </c>
      <c r="I622" s="63">
        <f t="shared" si="41"/>
        <v>4849.599999999999</v>
      </c>
      <c r="J622" s="63">
        <f t="shared" si="42"/>
        <v>3089.6000000000004</v>
      </c>
      <c r="K622" s="172">
        <f t="shared" si="43"/>
        <v>0</v>
      </c>
      <c r="L622" s="156"/>
      <c r="M622" s="173"/>
      <c r="N622" s="173"/>
      <c r="O622" s="190"/>
      <c r="P622" s="13"/>
    </row>
    <row r="623" spans="1:16" ht="15.75">
      <c r="A623" s="13">
        <v>617</v>
      </c>
      <c r="B623" s="60">
        <v>580552461</v>
      </c>
      <c r="C623" s="60" t="s">
        <v>653</v>
      </c>
      <c r="D623" s="61" t="s">
        <v>63</v>
      </c>
      <c r="E623" s="53">
        <v>132143.75</v>
      </c>
      <c r="F623" s="53">
        <v>66072</v>
      </c>
      <c r="G623" s="54">
        <f t="shared" si="40"/>
        <v>0.5000009459395545</v>
      </c>
      <c r="H623" s="62">
        <v>162471</v>
      </c>
      <c r="I623" s="63">
        <f t="shared" si="41"/>
        <v>92500.625</v>
      </c>
      <c r="J623" s="63">
        <f t="shared" si="42"/>
        <v>129976.8</v>
      </c>
      <c r="K623" s="172">
        <f t="shared" si="43"/>
        <v>92501</v>
      </c>
      <c r="L623" s="156"/>
      <c r="M623" s="173"/>
      <c r="N623" s="173"/>
      <c r="O623" s="190"/>
      <c r="P623" s="13"/>
    </row>
    <row r="624" spans="1:16" ht="15">
      <c r="A624">
        <v>618</v>
      </c>
      <c r="B624" s="66">
        <v>580553022</v>
      </c>
      <c r="C624" s="16" t="s">
        <v>232</v>
      </c>
      <c r="D624" s="16" t="s">
        <v>72</v>
      </c>
      <c r="E624" s="53">
        <v>65434.5</v>
      </c>
      <c r="F624" s="53">
        <v>32717</v>
      </c>
      <c r="G624" s="54">
        <f t="shared" si="40"/>
        <v>0.49999617938549235</v>
      </c>
      <c r="H624" s="62">
        <v>48107</v>
      </c>
      <c r="I624" s="63">
        <f t="shared" si="41"/>
        <v>45804.149999999994</v>
      </c>
      <c r="J624" s="63">
        <f t="shared" si="42"/>
        <v>38485.6</v>
      </c>
      <c r="K624" s="172">
        <f t="shared" si="43"/>
        <v>38486</v>
      </c>
      <c r="L624" s="156"/>
      <c r="M624" s="173"/>
      <c r="N624" s="173"/>
      <c r="O624" s="190"/>
      <c r="P624" s="13"/>
    </row>
    <row r="625" spans="1:16" ht="15.75">
      <c r="A625" s="13">
        <v>619</v>
      </c>
      <c r="B625" s="60">
        <v>580553071</v>
      </c>
      <c r="C625" s="61" t="s">
        <v>611</v>
      </c>
      <c r="D625" s="61" t="s">
        <v>60</v>
      </c>
      <c r="E625" s="53">
        <v>97939</v>
      </c>
      <c r="F625" s="53">
        <v>48970</v>
      </c>
      <c r="G625" s="54">
        <f t="shared" si="40"/>
        <v>0.5000051052185545</v>
      </c>
      <c r="H625" s="62">
        <v>56570</v>
      </c>
      <c r="I625" s="63">
        <f t="shared" si="41"/>
        <v>68557.3</v>
      </c>
      <c r="J625" s="63">
        <f t="shared" si="42"/>
        <v>45256</v>
      </c>
      <c r="K625" s="172">
        <f t="shared" si="43"/>
        <v>0</v>
      </c>
      <c r="L625" s="156"/>
      <c r="M625" s="173"/>
      <c r="N625" s="173"/>
      <c r="O625" s="190"/>
      <c r="P625" s="13"/>
    </row>
    <row r="626" spans="1:16" ht="15.75">
      <c r="A626">
        <v>620</v>
      </c>
      <c r="B626" s="60">
        <v>580553097</v>
      </c>
      <c r="C626" s="61" t="s">
        <v>478</v>
      </c>
      <c r="D626" s="61" t="s">
        <v>60</v>
      </c>
      <c r="E626" s="53">
        <v>41542</v>
      </c>
      <c r="F626" s="53">
        <v>20771</v>
      </c>
      <c r="G626" s="54">
        <f t="shared" si="40"/>
        <v>0.5</v>
      </c>
      <c r="H626" s="62">
        <v>49229</v>
      </c>
      <c r="I626" s="63">
        <f t="shared" si="41"/>
        <v>29079.399999999998</v>
      </c>
      <c r="J626" s="63">
        <f t="shared" si="42"/>
        <v>39383.200000000004</v>
      </c>
      <c r="K626" s="172">
        <f t="shared" si="43"/>
        <v>29079</v>
      </c>
      <c r="L626" s="156"/>
      <c r="M626" s="173"/>
      <c r="N626" s="173"/>
      <c r="O626" s="190"/>
      <c r="P626" s="13"/>
    </row>
    <row r="627" spans="1:16" ht="15.75">
      <c r="A627" s="13">
        <v>621</v>
      </c>
      <c r="B627" s="60">
        <v>580553741</v>
      </c>
      <c r="C627" s="61" t="s">
        <v>549</v>
      </c>
      <c r="D627" s="61" t="s">
        <v>60</v>
      </c>
      <c r="E627" s="53">
        <f>353932.5+96562</f>
        <v>450494.5</v>
      </c>
      <c r="F627" s="53">
        <f>176966+48281</f>
        <v>225247</v>
      </c>
      <c r="G627" s="54">
        <f t="shared" si="40"/>
        <v>0.49999944505426813</v>
      </c>
      <c r="H627" s="62">
        <f>227725+92525</f>
        <v>320250</v>
      </c>
      <c r="I627" s="63">
        <f t="shared" si="41"/>
        <v>315346.14999999997</v>
      </c>
      <c r="J627" s="63">
        <f t="shared" si="42"/>
        <v>256200</v>
      </c>
      <c r="K627" s="172">
        <f t="shared" si="43"/>
        <v>256200</v>
      </c>
      <c r="L627" s="156"/>
      <c r="M627" s="173"/>
      <c r="N627" s="173"/>
      <c r="O627" s="190"/>
      <c r="P627" s="13"/>
    </row>
    <row r="628" spans="1:16" ht="15.75">
      <c r="A628">
        <v>622</v>
      </c>
      <c r="B628" s="180">
        <v>580555647</v>
      </c>
      <c r="C628" s="152" t="s">
        <v>306</v>
      </c>
      <c r="D628" s="152" t="s">
        <v>60</v>
      </c>
      <c r="E628" s="53">
        <v>84130.25</v>
      </c>
      <c r="F628" s="53">
        <v>42065</v>
      </c>
      <c r="G628" s="54">
        <f t="shared" si="40"/>
        <v>0.49999851420862296</v>
      </c>
      <c r="H628" s="62">
        <v>76169</v>
      </c>
      <c r="I628" s="63">
        <f t="shared" si="41"/>
        <v>58891.174999999996</v>
      </c>
      <c r="J628" s="63">
        <f t="shared" si="42"/>
        <v>60935.200000000004</v>
      </c>
      <c r="K628" s="172">
        <f t="shared" si="43"/>
        <v>58891</v>
      </c>
      <c r="L628" s="156"/>
      <c r="M628" s="173"/>
      <c r="N628" s="173"/>
      <c r="O628" s="190"/>
      <c r="P628" s="13"/>
    </row>
    <row r="629" spans="1:16" ht="15.75">
      <c r="A629" s="13">
        <v>623</v>
      </c>
      <c r="B629" s="61">
        <v>580556488</v>
      </c>
      <c r="C629" s="61" t="s">
        <v>419</v>
      </c>
      <c r="D629" s="61" t="s">
        <v>68</v>
      </c>
      <c r="E629" s="53">
        <v>53916.25</v>
      </c>
      <c r="F629" s="53">
        <v>26958</v>
      </c>
      <c r="G629" s="54">
        <f t="shared" si="40"/>
        <v>0.49999768158950225</v>
      </c>
      <c r="H629" s="62">
        <v>82048</v>
      </c>
      <c r="I629" s="63">
        <f t="shared" si="41"/>
        <v>37741.375</v>
      </c>
      <c r="J629" s="63">
        <f t="shared" si="42"/>
        <v>65638.40000000001</v>
      </c>
      <c r="K629" s="172">
        <f t="shared" si="43"/>
        <v>37741</v>
      </c>
      <c r="L629" s="156"/>
      <c r="M629" s="173"/>
      <c r="N629" s="173"/>
      <c r="O629" s="190"/>
      <c r="P629" s="13"/>
    </row>
    <row r="630" spans="1:16" ht="15.75">
      <c r="A630">
        <v>624</v>
      </c>
      <c r="B630" s="109">
        <v>580557965</v>
      </c>
      <c r="C630" s="110" t="s">
        <v>550</v>
      </c>
      <c r="D630" s="110" t="s">
        <v>60</v>
      </c>
      <c r="E630" s="53">
        <v>95357.8</v>
      </c>
      <c r="F630" s="53">
        <v>47679</v>
      </c>
      <c r="G630" s="54">
        <f t="shared" si="40"/>
        <v>0.5000010486819116</v>
      </c>
      <c r="H630" s="62">
        <v>94267</v>
      </c>
      <c r="I630" s="63">
        <f t="shared" si="41"/>
        <v>66750.45999999999</v>
      </c>
      <c r="J630" s="63">
        <f t="shared" si="42"/>
        <v>75413.6</v>
      </c>
      <c r="K630" s="172">
        <f t="shared" si="43"/>
        <v>66750</v>
      </c>
      <c r="L630" s="156"/>
      <c r="M630" s="173"/>
      <c r="N630" s="173"/>
      <c r="O630" s="190"/>
      <c r="P630" s="13"/>
    </row>
    <row r="631" spans="1:16" ht="15.75">
      <c r="A631" s="13">
        <v>625</v>
      </c>
      <c r="B631" s="109">
        <v>580558708</v>
      </c>
      <c r="C631" s="110" t="s">
        <v>307</v>
      </c>
      <c r="D631" s="154" t="s">
        <v>63</v>
      </c>
      <c r="E631" s="53">
        <v>111369</v>
      </c>
      <c r="F631" s="53">
        <v>55685</v>
      </c>
      <c r="G631" s="54">
        <f t="shared" si="40"/>
        <v>0.5000044895796856</v>
      </c>
      <c r="H631" s="62">
        <v>113121</v>
      </c>
      <c r="I631" s="63">
        <f t="shared" si="41"/>
        <v>77958.29999999999</v>
      </c>
      <c r="J631" s="63">
        <f t="shared" si="42"/>
        <v>90496.8</v>
      </c>
      <c r="K631" s="172">
        <f t="shared" si="43"/>
        <v>77958</v>
      </c>
      <c r="L631" s="156"/>
      <c r="M631" s="173"/>
      <c r="N631" s="173"/>
      <c r="O631" s="190"/>
      <c r="P631" s="13"/>
    </row>
    <row r="632" spans="1:16" ht="15.75">
      <c r="A632">
        <v>626</v>
      </c>
      <c r="B632" s="110">
        <v>580560548</v>
      </c>
      <c r="C632" s="110" t="s">
        <v>233</v>
      </c>
      <c r="D632" s="110" t="s">
        <v>74</v>
      </c>
      <c r="E632" s="53">
        <v>130125.5</v>
      </c>
      <c r="F632" s="53">
        <v>65063</v>
      </c>
      <c r="G632" s="54">
        <f t="shared" si="40"/>
        <v>0.5000019212222048</v>
      </c>
      <c r="H632" s="62">
        <v>201224</v>
      </c>
      <c r="I632" s="63">
        <f t="shared" si="41"/>
        <v>91087.84999999999</v>
      </c>
      <c r="J632" s="63">
        <f t="shared" si="42"/>
        <v>160979.2</v>
      </c>
      <c r="K632" s="172">
        <f t="shared" si="43"/>
        <v>91088</v>
      </c>
      <c r="L632" s="156"/>
      <c r="M632" s="173"/>
      <c r="N632" s="173"/>
      <c r="O632" s="190"/>
      <c r="P632" s="13"/>
    </row>
    <row r="633" spans="1:16" ht="15.75">
      <c r="A633" s="13">
        <v>627</v>
      </c>
      <c r="B633" s="181">
        <v>580561868</v>
      </c>
      <c r="C633" s="110" t="s">
        <v>420</v>
      </c>
      <c r="D633" s="110" t="s">
        <v>60</v>
      </c>
      <c r="E633" s="53">
        <v>32980.75</v>
      </c>
      <c r="F633" s="53">
        <v>13192</v>
      </c>
      <c r="G633" s="54">
        <f t="shared" si="40"/>
        <v>0.3999909037847835</v>
      </c>
      <c r="H633" s="62">
        <v>37093</v>
      </c>
      <c r="I633" s="63">
        <f t="shared" si="41"/>
        <v>23086.524999999998</v>
      </c>
      <c r="J633" s="63">
        <f t="shared" si="42"/>
        <v>29674.4</v>
      </c>
      <c r="K633" s="172">
        <f t="shared" si="43"/>
        <v>23087</v>
      </c>
      <c r="L633" s="156"/>
      <c r="M633" s="173"/>
      <c r="N633" s="173"/>
      <c r="O633" s="190"/>
      <c r="P633" s="13"/>
    </row>
    <row r="634" spans="1:16" ht="15.75">
      <c r="A634">
        <v>628</v>
      </c>
      <c r="B634" s="109">
        <v>580561918</v>
      </c>
      <c r="C634" s="110" t="s">
        <v>479</v>
      </c>
      <c r="D634" s="154" t="s">
        <v>63</v>
      </c>
      <c r="E634" s="53">
        <v>95602.25</v>
      </c>
      <c r="F634" s="53">
        <v>47801</v>
      </c>
      <c r="G634" s="54">
        <f t="shared" si="40"/>
        <v>0.499998692499392</v>
      </c>
      <c r="H634" s="62">
        <v>100222</v>
      </c>
      <c r="I634" s="63">
        <f t="shared" si="41"/>
        <v>66921.575</v>
      </c>
      <c r="J634" s="63">
        <f t="shared" si="42"/>
        <v>80177.6</v>
      </c>
      <c r="K634" s="172">
        <f t="shared" si="43"/>
        <v>66922</v>
      </c>
      <c r="L634" s="156"/>
      <c r="M634" s="173"/>
      <c r="N634" s="173"/>
      <c r="O634" s="190"/>
      <c r="P634" s="13"/>
    </row>
    <row r="635" spans="1:16" ht="15.75">
      <c r="A635" s="13">
        <v>629</v>
      </c>
      <c r="B635" s="109">
        <v>580562494</v>
      </c>
      <c r="C635" s="110" t="s">
        <v>234</v>
      </c>
      <c r="D635" s="154" t="s">
        <v>63</v>
      </c>
      <c r="E635" s="53">
        <v>69046</v>
      </c>
      <c r="F635" s="53">
        <v>27618</v>
      </c>
      <c r="G635" s="54">
        <f t="shared" si="40"/>
        <v>0.39999420676071024</v>
      </c>
      <c r="H635" s="62">
        <v>86859</v>
      </c>
      <c r="I635" s="63">
        <f t="shared" si="41"/>
        <v>48332.2</v>
      </c>
      <c r="J635" s="63">
        <f t="shared" si="42"/>
        <v>69487.2</v>
      </c>
      <c r="K635" s="172">
        <f t="shared" si="43"/>
        <v>48332</v>
      </c>
      <c r="L635" s="156"/>
      <c r="M635" s="173"/>
      <c r="N635" s="173"/>
      <c r="O635" s="190"/>
      <c r="P635" s="13"/>
    </row>
    <row r="636" spans="1:16" ht="15.75">
      <c r="A636">
        <v>630</v>
      </c>
      <c r="B636" s="109">
        <v>580563039</v>
      </c>
      <c r="C636" s="110" t="s">
        <v>480</v>
      </c>
      <c r="D636" s="154" t="s">
        <v>63</v>
      </c>
      <c r="E636" s="53">
        <v>53916.25</v>
      </c>
      <c r="F636" s="53">
        <v>26958</v>
      </c>
      <c r="G636" s="54">
        <f t="shared" si="40"/>
        <v>0.49999768158950225</v>
      </c>
      <c r="H636" s="62">
        <v>63892</v>
      </c>
      <c r="I636" s="63">
        <f t="shared" si="41"/>
        <v>37741.375</v>
      </c>
      <c r="J636" s="63">
        <f t="shared" si="42"/>
        <v>51113.600000000006</v>
      </c>
      <c r="K636" s="172">
        <f t="shared" si="43"/>
        <v>37741</v>
      </c>
      <c r="L636" s="156"/>
      <c r="M636" s="173"/>
      <c r="N636" s="173"/>
      <c r="O636" s="190"/>
      <c r="P636" s="13"/>
    </row>
    <row r="637" spans="1:16" ht="15.75">
      <c r="A637" s="13">
        <v>631</v>
      </c>
      <c r="B637" s="110">
        <v>580563146</v>
      </c>
      <c r="C637" s="110" t="s">
        <v>421</v>
      </c>
      <c r="D637" s="110" t="s">
        <v>68</v>
      </c>
      <c r="E637" s="53">
        <v>41226.8</v>
      </c>
      <c r="F637" s="53">
        <v>16491</v>
      </c>
      <c r="G637" s="54">
        <f t="shared" si="40"/>
        <v>0.4000067916986038</v>
      </c>
      <c r="H637" s="62">
        <v>75150</v>
      </c>
      <c r="I637" s="63">
        <f t="shared" si="41"/>
        <v>28858.76</v>
      </c>
      <c r="J637" s="63">
        <f t="shared" si="42"/>
        <v>60120</v>
      </c>
      <c r="K637" s="172">
        <f t="shared" si="43"/>
        <v>28859</v>
      </c>
      <c r="L637" s="156"/>
      <c r="M637" s="173"/>
      <c r="N637" s="173"/>
      <c r="O637" s="190"/>
      <c r="P637" s="13"/>
    </row>
    <row r="638" spans="1:16" ht="15.75">
      <c r="A638">
        <v>632</v>
      </c>
      <c r="B638" s="109">
        <v>580563625</v>
      </c>
      <c r="C638" s="110" t="s">
        <v>235</v>
      </c>
      <c r="D638" s="154" t="s">
        <v>63</v>
      </c>
      <c r="E638" s="53">
        <v>175839.75</v>
      </c>
      <c r="F638" s="53">
        <v>87920</v>
      </c>
      <c r="G638" s="54">
        <f t="shared" si="40"/>
        <v>0.500000710874532</v>
      </c>
      <c r="H638" s="62">
        <v>229210</v>
      </c>
      <c r="I638" s="63">
        <f t="shared" si="41"/>
        <v>123087.825</v>
      </c>
      <c r="J638" s="63">
        <f t="shared" si="42"/>
        <v>183368</v>
      </c>
      <c r="K638" s="172">
        <f t="shared" si="43"/>
        <v>123088</v>
      </c>
      <c r="L638" s="156"/>
      <c r="M638" s="173"/>
      <c r="N638" s="173"/>
      <c r="O638" s="190"/>
      <c r="P638" s="13"/>
    </row>
    <row r="639" spans="1:16" ht="15">
      <c r="A639" s="13">
        <v>633</v>
      </c>
      <c r="B639" s="151">
        <v>580563740</v>
      </c>
      <c r="C639" s="155" t="s">
        <v>422</v>
      </c>
      <c r="D639" s="155" t="s">
        <v>72</v>
      </c>
      <c r="E639" s="53">
        <v>39875.25</v>
      </c>
      <c r="F639" s="53">
        <v>19938</v>
      </c>
      <c r="G639" s="54">
        <f t="shared" si="40"/>
        <v>0.5000094043297534</v>
      </c>
      <c r="H639" s="62">
        <v>15769</v>
      </c>
      <c r="I639" s="63">
        <f t="shared" si="41"/>
        <v>27912.675</v>
      </c>
      <c r="J639" s="63">
        <f t="shared" si="42"/>
        <v>12615.2</v>
      </c>
      <c r="K639" s="172">
        <f t="shared" si="43"/>
        <v>0</v>
      </c>
      <c r="L639" s="156"/>
      <c r="M639" s="173"/>
      <c r="N639" s="173"/>
      <c r="O639" s="190"/>
      <c r="P639" s="13"/>
    </row>
    <row r="640" spans="1:16" ht="15.75">
      <c r="A640">
        <v>634</v>
      </c>
      <c r="B640" s="109">
        <v>580564961</v>
      </c>
      <c r="C640" s="110" t="s">
        <v>236</v>
      </c>
      <c r="D640" s="154" t="s">
        <v>72</v>
      </c>
      <c r="E640" s="53">
        <v>85750.25</v>
      </c>
      <c r="F640" s="53">
        <v>42875</v>
      </c>
      <c r="G640" s="54">
        <f t="shared" si="40"/>
        <v>0.49999854227830237</v>
      </c>
      <c r="H640" s="62">
        <v>50630</v>
      </c>
      <c r="I640" s="63">
        <f t="shared" si="41"/>
        <v>60025.174999999996</v>
      </c>
      <c r="J640" s="63">
        <f t="shared" si="42"/>
        <v>40504</v>
      </c>
      <c r="K640" s="172">
        <f t="shared" si="43"/>
        <v>0</v>
      </c>
      <c r="L640" s="156"/>
      <c r="M640" s="173"/>
      <c r="N640" s="173"/>
      <c r="O640" s="190"/>
      <c r="P640" s="13"/>
    </row>
    <row r="641" spans="1:16" ht="15.75">
      <c r="A641" s="13">
        <v>635</v>
      </c>
      <c r="B641" s="109">
        <v>580566057</v>
      </c>
      <c r="C641" s="110" t="s">
        <v>237</v>
      </c>
      <c r="D641" s="110" t="s">
        <v>60</v>
      </c>
      <c r="E641" s="53">
        <v>106949.5</v>
      </c>
      <c r="F641" s="53">
        <v>53475</v>
      </c>
      <c r="G641" s="54">
        <f aca="true" t="shared" si="44" ref="G641:G704">F641/E641</f>
        <v>0.5000023375518352</v>
      </c>
      <c r="H641" s="62">
        <v>174220</v>
      </c>
      <c r="I641" s="63">
        <f t="shared" si="41"/>
        <v>74864.65</v>
      </c>
      <c r="J641" s="63">
        <f t="shared" si="42"/>
        <v>139376</v>
      </c>
      <c r="K641" s="172">
        <f t="shared" si="43"/>
        <v>74865</v>
      </c>
      <c r="L641" s="156"/>
      <c r="M641" s="173"/>
      <c r="N641" s="173"/>
      <c r="O641" s="190"/>
      <c r="P641" s="13"/>
    </row>
    <row r="642" spans="1:16" ht="15.75">
      <c r="A642">
        <v>636</v>
      </c>
      <c r="B642" s="109">
        <v>580566743</v>
      </c>
      <c r="C642" s="110" t="s">
        <v>713</v>
      </c>
      <c r="D642" s="110" t="s">
        <v>60</v>
      </c>
      <c r="E642" s="53">
        <v>113725.5</v>
      </c>
      <c r="F642" s="53">
        <v>56863</v>
      </c>
      <c r="G642" s="54">
        <f t="shared" si="44"/>
        <v>0.5000021982756726</v>
      </c>
      <c r="H642" s="62">
        <v>79254</v>
      </c>
      <c r="I642" s="63">
        <f t="shared" si="41"/>
        <v>79607.84999999999</v>
      </c>
      <c r="J642" s="63">
        <f t="shared" si="42"/>
        <v>63403.200000000004</v>
      </c>
      <c r="K642" s="172">
        <f t="shared" si="43"/>
        <v>63403</v>
      </c>
      <c r="L642" s="156"/>
      <c r="M642" s="173"/>
      <c r="N642" s="173"/>
      <c r="O642" s="190"/>
      <c r="P642" s="13"/>
    </row>
    <row r="643" spans="1:16" ht="15.75">
      <c r="A643" s="13">
        <v>637</v>
      </c>
      <c r="B643" s="109">
        <v>580566776</v>
      </c>
      <c r="C643" s="110" t="s">
        <v>714</v>
      </c>
      <c r="D643" s="154" t="s">
        <v>63</v>
      </c>
      <c r="E643" s="53">
        <v>77650</v>
      </c>
      <c r="F643" s="53">
        <v>38825</v>
      </c>
      <c r="G643" s="54">
        <f t="shared" si="44"/>
        <v>0.5</v>
      </c>
      <c r="H643" s="62">
        <v>59911</v>
      </c>
      <c r="I643" s="63">
        <f t="shared" si="41"/>
        <v>54355</v>
      </c>
      <c r="J643" s="63">
        <f t="shared" si="42"/>
        <v>47928.8</v>
      </c>
      <c r="K643" s="172">
        <f t="shared" si="43"/>
        <v>47929</v>
      </c>
      <c r="L643" s="156"/>
      <c r="M643" s="173"/>
      <c r="N643" s="173"/>
      <c r="O643" s="190"/>
      <c r="P643" s="13"/>
    </row>
    <row r="644" spans="1:16" ht="15.75">
      <c r="A644">
        <v>638</v>
      </c>
      <c r="B644" s="109">
        <v>580567972</v>
      </c>
      <c r="C644" s="109" t="s">
        <v>654</v>
      </c>
      <c r="D644" s="110" t="s">
        <v>74</v>
      </c>
      <c r="E644" s="53">
        <v>87211.5</v>
      </c>
      <c r="F644" s="53">
        <v>43606</v>
      </c>
      <c r="G644" s="54">
        <f t="shared" si="44"/>
        <v>0.5000028665944285</v>
      </c>
      <c r="H644" s="62">
        <v>87973</v>
      </c>
      <c r="I644" s="63">
        <f t="shared" si="41"/>
        <v>61048.049999999996</v>
      </c>
      <c r="J644" s="63">
        <f t="shared" si="42"/>
        <v>70378.40000000001</v>
      </c>
      <c r="K644" s="172">
        <f t="shared" si="43"/>
        <v>61048</v>
      </c>
      <c r="L644" s="156"/>
      <c r="M644" s="173"/>
      <c r="N644" s="173"/>
      <c r="O644" s="190"/>
      <c r="P644" s="13"/>
    </row>
    <row r="645" spans="1:16" ht="15">
      <c r="A645" s="13">
        <v>639</v>
      </c>
      <c r="B645" s="66">
        <v>580575827</v>
      </c>
      <c r="C645" s="16" t="s">
        <v>238</v>
      </c>
      <c r="D645" s="16" t="s">
        <v>72</v>
      </c>
      <c r="E645" s="53">
        <v>30899.25</v>
      </c>
      <c r="F645" s="53">
        <v>15450</v>
      </c>
      <c r="G645" s="54">
        <f t="shared" si="44"/>
        <v>0.5000121362168984</v>
      </c>
      <c r="H645" s="62">
        <v>61548</v>
      </c>
      <c r="I645" s="63">
        <f aca="true" t="shared" si="45" ref="I645:I708">E645*$I$2</f>
        <v>21629.475</v>
      </c>
      <c r="J645" s="63">
        <f aca="true" t="shared" si="46" ref="J645:J708">H645*$J$2</f>
        <v>49238.4</v>
      </c>
      <c r="K645" s="172">
        <f aca="true" t="shared" si="47" ref="K645:K708">ROUND(IF(IF(MIN(I645,J645)&lt;F645,MIN(I645,J645)-F645,MIN(I645,J645))&lt;0,0,IF(MIN(I645,J645)&lt;F645,MIN(I645,J645)-F645,MIN(I645,J645))),0)</f>
        <v>21629</v>
      </c>
      <c r="L645" s="156"/>
      <c r="M645" s="173"/>
      <c r="N645" s="173"/>
      <c r="O645" s="190"/>
      <c r="P645" s="13"/>
    </row>
    <row r="646" spans="1:16" ht="15">
      <c r="A646">
        <v>640</v>
      </c>
      <c r="B646" s="66">
        <v>580576346</v>
      </c>
      <c r="C646" s="66" t="s">
        <v>239</v>
      </c>
      <c r="D646" s="16" t="s">
        <v>68</v>
      </c>
      <c r="E646" s="53">
        <v>12032.75</v>
      </c>
      <c r="F646" s="53">
        <v>6016</v>
      </c>
      <c r="G646" s="54">
        <f t="shared" si="44"/>
        <v>0.4999688350543309</v>
      </c>
      <c r="H646" s="62">
        <v>50822</v>
      </c>
      <c r="I646" s="63">
        <f t="shared" si="45"/>
        <v>8422.925</v>
      </c>
      <c r="J646" s="63">
        <f t="shared" si="46"/>
        <v>40657.600000000006</v>
      </c>
      <c r="K646" s="172">
        <f t="shared" si="47"/>
        <v>8423</v>
      </c>
      <c r="L646" s="156"/>
      <c r="M646" s="173"/>
      <c r="N646" s="173"/>
      <c r="O646" s="190"/>
      <c r="P646" s="13"/>
    </row>
    <row r="647" spans="1:16" ht="15.75">
      <c r="A647" s="13">
        <v>641</v>
      </c>
      <c r="B647" s="61">
        <v>580576866</v>
      </c>
      <c r="C647" s="61" t="s">
        <v>240</v>
      </c>
      <c r="D647" s="61" t="s">
        <v>63</v>
      </c>
      <c r="E647" s="53">
        <f>243066.25+268388</f>
        <v>511454.25</v>
      </c>
      <c r="F647" s="53">
        <f>121533+107355</f>
        <v>228888</v>
      </c>
      <c r="G647" s="54">
        <f t="shared" si="44"/>
        <v>0.4475238987651388</v>
      </c>
      <c r="H647" s="62">
        <f>144194+216601</f>
        <v>360795</v>
      </c>
      <c r="I647" s="63">
        <f t="shared" si="45"/>
        <v>358017.975</v>
      </c>
      <c r="J647" s="63">
        <f t="shared" si="46"/>
        <v>288636</v>
      </c>
      <c r="K647" s="172">
        <f t="shared" si="47"/>
        <v>288636</v>
      </c>
      <c r="L647" s="156"/>
      <c r="M647" s="173"/>
      <c r="N647" s="173"/>
      <c r="O647" s="190"/>
      <c r="P647" s="13"/>
    </row>
    <row r="648" spans="1:16" ht="15.75">
      <c r="A648">
        <v>642</v>
      </c>
      <c r="B648" s="70">
        <v>580577849</v>
      </c>
      <c r="C648" s="91" t="s">
        <v>308</v>
      </c>
      <c r="D648" s="61" t="s">
        <v>60</v>
      </c>
      <c r="E648" s="53">
        <v>52295</v>
      </c>
      <c r="F648" s="53">
        <v>26148</v>
      </c>
      <c r="G648" s="54">
        <f t="shared" si="44"/>
        <v>0.5000095611435128</v>
      </c>
      <c r="H648" s="62">
        <v>58438</v>
      </c>
      <c r="I648" s="63">
        <f t="shared" si="45"/>
        <v>36606.5</v>
      </c>
      <c r="J648" s="63">
        <f t="shared" si="46"/>
        <v>46750.4</v>
      </c>
      <c r="K648" s="172">
        <f t="shared" si="47"/>
        <v>36607</v>
      </c>
      <c r="L648" s="156"/>
      <c r="M648" s="173"/>
      <c r="N648" s="173"/>
      <c r="O648" s="190"/>
      <c r="P648" s="13"/>
    </row>
    <row r="649" spans="1:16" ht="15.75">
      <c r="A649" s="13">
        <v>643</v>
      </c>
      <c r="B649" s="60">
        <v>580578250</v>
      </c>
      <c r="C649" s="61" t="s">
        <v>241</v>
      </c>
      <c r="D649" s="65" t="s">
        <v>63</v>
      </c>
      <c r="E649" s="53">
        <v>534094.75</v>
      </c>
      <c r="F649" s="53">
        <v>267047</v>
      </c>
      <c r="G649" s="54">
        <f t="shared" si="44"/>
        <v>0.4999992978773897</v>
      </c>
      <c r="H649" s="62">
        <v>554805</v>
      </c>
      <c r="I649" s="63">
        <f t="shared" si="45"/>
        <v>373866.32499999995</v>
      </c>
      <c r="J649" s="63">
        <f t="shared" si="46"/>
        <v>443844</v>
      </c>
      <c r="K649" s="172">
        <f t="shared" si="47"/>
        <v>373866</v>
      </c>
      <c r="L649" s="156"/>
      <c r="M649" s="173"/>
      <c r="N649" s="173"/>
      <c r="O649" s="190"/>
      <c r="P649" s="13"/>
    </row>
    <row r="650" spans="1:16" ht="15">
      <c r="A650">
        <v>644</v>
      </c>
      <c r="B650" s="70">
        <v>580579068</v>
      </c>
      <c r="C650" s="91" t="s">
        <v>766</v>
      </c>
      <c r="D650" s="65" t="s">
        <v>63</v>
      </c>
      <c r="E650" s="53">
        <v>22073.25</v>
      </c>
      <c r="F650" s="53">
        <v>11037</v>
      </c>
      <c r="G650" s="54">
        <f t="shared" si="44"/>
        <v>0.5000169888892664</v>
      </c>
      <c r="H650" s="62">
        <v>23242</v>
      </c>
      <c r="I650" s="63">
        <f t="shared" si="45"/>
        <v>15451.275</v>
      </c>
      <c r="J650" s="63">
        <f t="shared" si="46"/>
        <v>18593.600000000002</v>
      </c>
      <c r="K650" s="172">
        <f t="shared" si="47"/>
        <v>15451</v>
      </c>
      <c r="L650" s="156"/>
      <c r="M650" s="173"/>
      <c r="N650" s="173"/>
      <c r="O650" s="190"/>
      <c r="P650" s="13"/>
    </row>
    <row r="651" spans="1:16" ht="15">
      <c r="A651" s="13">
        <v>645</v>
      </c>
      <c r="B651" s="79">
        <v>580579258</v>
      </c>
      <c r="C651" s="16" t="s">
        <v>309</v>
      </c>
      <c r="D651" s="16" t="s">
        <v>72</v>
      </c>
      <c r="E651" s="53">
        <v>8655</v>
      </c>
      <c r="F651" s="53">
        <v>4328</v>
      </c>
      <c r="G651" s="54">
        <f t="shared" si="44"/>
        <v>0.5000577700751011</v>
      </c>
      <c r="H651" s="77" t="e">
        <v>#N/A</v>
      </c>
      <c r="I651" s="63">
        <f t="shared" si="45"/>
        <v>6058.5</v>
      </c>
      <c r="J651" s="63" t="e">
        <f t="shared" si="46"/>
        <v>#N/A</v>
      </c>
      <c r="K651" s="172" t="e">
        <f t="shared" si="47"/>
        <v>#N/A</v>
      </c>
      <c r="L651" s="156"/>
      <c r="M651" s="173"/>
      <c r="N651" s="173"/>
      <c r="O651" s="190"/>
      <c r="P651" s="13"/>
    </row>
    <row r="652" spans="1:16" ht="15.75">
      <c r="A652">
        <v>646</v>
      </c>
      <c r="B652" s="60">
        <v>580581098</v>
      </c>
      <c r="C652" s="61" t="s">
        <v>715</v>
      </c>
      <c r="D652" s="61" t="s">
        <v>60</v>
      </c>
      <c r="E652" s="53">
        <v>121091</v>
      </c>
      <c r="F652" s="53">
        <v>60546</v>
      </c>
      <c r="G652" s="54">
        <f t="shared" si="44"/>
        <v>0.5000041291260292</v>
      </c>
      <c r="H652" s="62">
        <v>134593</v>
      </c>
      <c r="I652" s="63">
        <f t="shared" si="45"/>
        <v>84763.7</v>
      </c>
      <c r="J652" s="63">
        <f t="shared" si="46"/>
        <v>107674.40000000001</v>
      </c>
      <c r="K652" s="172">
        <f t="shared" si="47"/>
        <v>84764</v>
      </c>
      <c r="L652" s="156"/>
      <c r="M652" s="173"/>
      <c r="N652" s="173"/>
      <c r="O652" s="190"/>
      <c r="P652" s="13"/>
    </row>
    <row r="653" spans="1:16" ht="15">
      <c r="A653" s="13">
        <v>647</v>
      </c>
      <c r="B653" s="66">
        <v>580582351</v>
      </c>
      <c r="C653" s="66" t="s">
        <v>584</v>
      </c>
      <c r="D653" s="16" t="s">
        <v>68</v>
      </c>
      <c r="E653" s="53">
        <v>20034.620609784673</v>
      </c>
      <c r="F653" s="53">
        <v>10017</v>
      </c>
      <c r="G653" s="54">
        <f t="shared" si="44"/>
        <v>0.49998451156633406</v>
      </c>
      <c r="H653" s="62">
        <v>47483</v>
      </c>
      <c r="I653" s="63">
        <f t="shared" si="45"/>
        <v>14024.23442684927</v>
      </c>
      <c r="J653" s="63">
        <f t="shared" si="46"/>
        <v>37986.4</v>
      </c>
      <c r="K653" s="172">
        <f t="shared" si="47"/>
        <v>14024</v>
      </c>
      <c r="L653" s="156"/>
      <c r="M653" s="173"/>
      <c r="N653" s="173"/>
      <c r="O653" s="190"/>
      <c r="P653" s="13"/>
    </row>
    <row r="654" spans="1:16" ht="15.75">
      <c r="A654">
        <v>648</v>
      </c>
      <c r="B654" s="60">
        <v>580582856</v>
      </c>
      <c r="C654" s="61" t="s">
        <v>310</v>
      </c>
      <c r="D654" s="61" t="s">
        <v>60</v>
      </c>
      <c r="E654" s="53">
        <v>90155.75</v>
      </c>
      <c r="F654" s="53">
        <v>45078</v>
      </c>
      <c r="G654" s="54">
        <f t="shared" si="44"/>
        <v>0.5000013864894918</v>
      </c>
      <c r="H654" s="62">
        <v>163397</v>
      </c>
      <c r="I654" s="63">
        <f t="shared" si="45"/>
        <v>63109.024999999994</v>
      </c>
      <c r="J654" s="63">
        <f t="shared" si="46"/>
        <v>130717.6</v>
      </c>
      <c r="K654" s="172">
        <f t="shared" si="47"/>
        <v>63109</v>
      </c>
      <c r="L654" s="156"/>
      <c r="M654" s="173"/>
      <c r="N654" s="173"/>
      <c r="O654" s="190"/>
      <c r="P654" s="13"/>
    </row>
    <row r="655" spans="1:16" ht="15.75">
      <c r="A655" s="13">
        <v>649</v>
      </c>
      <c r="B655" s="60">
        <v>580584175</v>
      </c>
      <c r="C655" s="61" t="s">
        <v>311</v>
      </c>
      <c r="D655" s="61" t="s">
        <v>60</v>
      </c>
      <c r="E655" s="53">
        <v>5928.25</v>
      </c>
      <c r="F655" s="53">
        <v>2964</v>
      </c>
      <c r="G655" s="54">
        <f t="shared" si="44"/>
        <v>0.4999789145194619</v>
      </c>
      <c r="H655" s="62">
        <v>4494</v>
      </c>
      <c r="I655" s="63">
        <f t="shared" si="45"/>
        <v>4149.775</v>
      </c>
      <c r="J655" s="63">
        <f t="shared" si="46"/>
        <v>3595.2000000000003</v>
      </c>
      <c r="K655" s="172">
        <f t="shared" si="47"/>
        <v>3595</v>
      </c>
      <c r="L655" s="156"/>
      <c r="M655" s="173"/>
      <c r="N655" s="173"/>
      <c r="O655" s="190"/>
      <c r="P655" s="13"/>
    </row>
    <row r="656" spans="1:16" ht="15.75">
      <c r="A656">
        <v>650</v>
      </c>
      <c r="B656" s="60">
        <v>580584183</v>
      </c>
      <c r="C656" s="61" t="s">
        <v>716</v>
      </c>
      <c r="D656" s="61" t="s">
        <v>60</v>
      </c>
      <c r="E656" s="53">
        <v>16346</v>
      </c>
      <c r="F656" s="53">
        <v>8173</v>
      </c>
      <c r="G656" s="54">
        <f t="shared" si="44"/>
        <v>0.5</v>
      </c>
      <c r="H656" s="62">
        <v>18302</v>
      </c>
      <c r="I656" s="63">
        <f t="shared" si="45"/>
        <v>11442.199999999999</v>
      </c>
      <c r="J656" s="63">
        <f t="shared" si="46"/>
        <v>14641.6</v>
      </c>
      <c r="K656" s="172">
        <f t="shared" si="47"/>
        <v>11442</v>
      </c>
      <c r="L656" s="156"/>
      <c r="M656" s="173"/>
      <c r="N656" s="173"/>
      <c r="O656" s="190"/>
      <c r="P656" s="13"/>
    </row>
    <row r="657" spans="1:16" ht="15.75">
      <c r="A657" s="13">
        <v>651</v>
      </c>
      <c r="B657" s="60">
        <v>580584191</v>
      </c>
      <c r="C657" s="61" t="s">
        <v>551</v>
      </c>
      <c r="D657" s="61" t="s">
        <v>60</v>
      </c>
      <c r="E657" s="53">
        <v>9399.75</v>
      </c>
      <c r="F657" s="53">
        <v>3760</v>
      </c>
      <c r="G657" s="54">
        <f t="shared" si="44"/>
        <v>0.4000106385808133</v>
      </c>
      <c r="H657" s="62">
        <v>4650</v>
      </c>
      <c r="I657" s="63">
        <f t="shared" si="45"/>
        <v>6579.825</v>
      </c>
      <c r="J657" s="63">
        <f t="shared" si="46"/>
        <v>3720</v>
      </c>
      <c r="K657" s="172">
        <f t="shared" si="47"/>
        <v>0</v>
      </c>
      <c r="L657" s="156"/>
      <c r="M657" s="173"/>
      <c r="N657" s="173"/>
      <c r="O657" s="190"/>
      <c r="P657" s="13"/>
    </row>
    <row r="658" spans="1:16" ht="15.75">
      <c r="A658">
        <v>652</v>
      </c>
      <c r="B658" s="60">
        <v>580585289</v>
      </c>
      <c r="C658" s="66" t="s">
        <v>481</v>
      </c>
      <c r="D658" s="16" t="s">
        <v>68</v>
      </c>
      <c r="E658" s="53">
        <v>37616</v>
      </c>
      <c r="F658" s="53">
        <v>18808</v>
      </c>
      <c r="G658" s="54">
        <f t="shared" si="44"/>
        <v>0.5</v>
      </c>
      <c r="H658" s="62">
        <v>23549</v>
      </c>
      <c r="I658" s="63">
        <f t="shared" si="45"/>
        <v>26331.199999999997</v>
      </c>
      <c r="J658" s="63">
        <f t="shared" si="46"/>
        <v>18839.2</v>
      </c>
      <c r="K658" s="172">
        <f t="shared" si="47"/>
        <v>18839</v>
      </c>
      <c r="L658" s="156"/>
      <c r="M658" s="173"/>
      <c r="N658" s="173"/>
      <c r="O658" s="190"/>
      <c r="P658" s="13"/>
    </row>
    <row r="659" spans="1:16" ht="15.75">
      <c r="A659" s="13">
        <v>653</v>
      </c>
      <c r="B659" s="60">
        <v>580585297</v>
      </c>
      <c r="C659" s="16" t="s">
        <v>482</v>
      </c>
      <c r="D659" s="16" t="s">
        <v>72</v>
      </c>
      <c r="E659" s="53">
        <v>52649</v>
      </c>
      <c r="F659" s="53">
        <v>21060</v>
      </c>
      <c r="G659" s="54">
        <f t="shared" si="44"/>
        <v>0.4000075974852324</v>
      </c>
      <c r="H659" s="62">
        <v>32377</v>
      </c>
      <c r="I659" s="63">
        <f t="shared" si="45"/>
        <v>36854.299999999996</v>
      </c>
      <c r="J659" s="63">
        <f t="shared" si="46"/>
        <v>25901.600000000002</v>
      </c>
      <c r="K659" s="172">
        <f t="shared" si="47"/>
        <v>25902</v>
      </c>
      <c r="L659" s="156"/>
      <c r="M659" s="173"/>
      <c r="N659" s="173"/>
      <c r="O659" s="190"/>
      <c r="P659" s="13"/>
    </row>
    <row r="660" spans="1:16" ht="15.75">
      <c r="A660">
        <v>654</v>
      </c>
      <c r="B660" s="60">
        <v>580585990</v>
      </c>
      <c r="C660" s="61" t="s">
        <v>242</v>
      </c>
      <c r="D660" s="61" t="s">
        <v>60</v>
      </c>
      <c r="E660" s="53">
        <v>132069.5</v>
      </c>
      <c r="F660" s="53">
        <v>66035</v>
      </c>
      <c r="G660" s="54">
        <f t="shared" si="44"/>
        <v>0.5000018929427309</v>
      </c>
      <c r="H660" s="62">
        <v>255499</v>
      </c>
      <c r="I660" s="63">
        <f t="shared" si="45"/>
        <v>92448.65</v>
      </c>
      <c r="J660" s="63">
        <f t="shared" si="46"/>
        <v>204399.2</v>
      </c>
      <c r="K660" s="172">
        <f t="shared" si="47"/>
        <v>92449</v>
      </c>
      <c r="L660" s="156"/>
      <c r="M660" s="173"/>
      <c r="N660" s="173"/>
      <c r="O660" s="190"/>
      <c r="P660" s="13"/>
    </row>
    <row r="661" spans="1:16" ht="15.75">
      <c r="A661" s="13">
        <v>655</v>
      </c>
      <c r="B661" s="110">
        <v>580587723</v>
      </c>
      <c r="C661" s="110" t="s">
        <v>552</v>
      </c>
      <c r="D661" s="110" t="s">
        <v>68</v>
      </c>
      <c r="E661" s="53">
        <v>3099.75</v>
      </c>
      <c r="F661" s="53">
        <v>1240</v>
      </c>
      <c r="G661" s="54">
        <f t="shared" si="44"/>
        <v>0.40003226066618275</v>
      </c>
      <c r="H661" s="62">
        <v>90001</v>
      </c>
      <c r="I661" s="63">
        <f t="shared" si="45"/>
        <v>2169.825</v>
      </c>
      <c r="J661" s="63">
        <f t="shared" si="46"/>
        <v>72000.8</v>
      </c>
      <c r="K661" s="172">
        <f t="shared" si="47"/>
        <v>2170</v>
      </c>
      <c r="L661" s="156"/>
      <c r="M661" s="173"/>
      <c r="N661" s="173"/>
      <c r="O661" s="190"/>
      <c r="P661" s="13"/>
    </row>
    <row r="662" spans="1:16" ht="15.75">
      <c r="A662">
        <v>656</v>
      </c>
      <c r="B662" s="109">
        <v>580589059</v>
      </c>
      <c r="C662" s="110" t="s">
        <v>243</v>
      </c>
      <c r="D662" s="154" t="s">
        <v>63</v>
      </c>
      <c r="E662" s="53">
        <v>152173.75</v>
      </c>
      <c r="F662" s="53">
        <v>76087</v>
      </c>
      <c r="G662" s="54">
        <f t="shared" si="44"/>
        <v>0.5000008214294516</v>
      </c>
      <c r="H662" s="62">
        <v>185218</v>
      </c>
      <c r="I662" s="63">
        <f t="shared" si="45"/>
        <v>106521.625</v>
      </c>
      <c r="J662" s="63">
        <f t="shared" si="46"/>
        <v>148174.4</v>
      </c>
      <c r="K662" s="172">
        <f t="shared" si="47"/>
        <v>106522</v>
      </c>
      <c r="L662" s="156"/>
      <c r="M662" s="173"/>
      <c r="N662" s="173"/>
      <c r="O662" s="190"/>
      <c r="P662" s="13"/>
    </row>
    <row r="663" spans="1:16" ht="15.75">
      <c r="A663" s="13">
        <v>657</v>
      </c>
      <c r="B663" s="109">
        <v>580589851</v>
      </c>
      <c r="C663" s="110" t="s">
        <v>312</v>
      </c>
      <c r="D663" s="110" t="s">
        <v>60</v>
      </c>
      <c r="E663" s="53">
        <v>50823</v>
      </c>
      <c r="F663" s="53">
        <v>25412</v>
      </c>
      <c r="G663" s="54">
        <f t="shared" si="44"/>
        <v>0.5000098380654429</v>
      </c>
      <c r="H663" s="62">
        <v>98457</v>
      </c>
      <c r="I663" s="63">
        <f t="shared" si="45"/>
        <v>35576.1</v>
      </c>
      <c r="J663" s="63">
        <f t="shared" si="46"/>
        <v>78765.6</v>
      </c>
      <c r="K663" s="172">
        <f t="shared" si="47"/>
        <v>35576</v>
      </c>
      <c r="L663" s="156"/>
      <c r="M663" s="173"/>
      <c r="N663" s="173"/>
      <c r="O663" s="190"/>
      <c r="P663" s="13"/>
    </row>
    <row r="664" spans="1:16" ht="15.75">
      <c r="A664">
        <v>658</v>
      </c>
      <c r="B664" s="109">
        <v>580591931</v>
      </c>
      <c r="C664" s="110" t="s">
        <v>483</v>
      </c>
      <c r="D664" s="110" t="s">
        <v>60</v>
      </c>
      <c r="E664" s="53">
        <v>63204.25</v>
      </c>
      <c r="F664" s="53">
        <v>31602</v>
      </c>
      <c r="G664" s="54">
        <f t="shared" si="44"/>
        <v>0.4999980222848938</v>
      </c>
      <c r="H664" s="62">
        <v>66258</v>
      </c>
      <c r="I664" s="63">
        <f t="shared" si="45"/>
        <v>44242.975</v>
      </c>
      <c r="J664" s="63">
        <f t="shared" si="46"/>
        <v>53006.4</v>
      </c>
      <c r="K664" s="172">
        <f t="shared" si="47"/>
        <v>44243</v>
      </c>
      <c r="L664" s="156"/>
      <c r="M664" s="173"/>
      <c r="N664" s="173"/>
      <c r="O664" s="190"/>
      <c r="P664" s="13"/>
    </row>
    <row r="665" spans="1:16" ht="15.75">
      <c r="A665" s="13">
        <v>659</v>
      </c>
      <c r="B665" s="109">
        <v>580592137</v>
      </c>
      <c r="C665" s="110" t="s">
        <v>553</v>
      </c>
      <c r="D665" s="154" t="s">
        <v>63</v>
      </c>
      <c r="E665" s="53">
        <v>72183.25</v>
      </c>
      <c r="F665" s="53">
        <v>28873</v>
      </c>
      <c r="G665" s="54">
        <f t="shared" si="44"/>
        <v>0.39999584391115667</v>
      </c>
      <c r="H665" s="62">
        <v>78382</v>
      </c>
      <c r="I665" s="63">
        <f t="shared" si="45"/>
        <v>50528.274999999994</v>
      </c>
      <c r="J665" s="63">
        <f t="shared" si="46"/>
        <v>62705.600000000006</v>
      </c>
      <c r="K665" s="172">
        <f t="shared" si="47"/>
        <v>50528</v>
      </c>
      <c r="L665" s="156"/>
      <c r="M665" s="173"/>
      <c r="N665" s="173"/>
      <c r="O665" s="190"/>
      <c r="P665" s="13"/>
    </row>
    <row r="666" spans="1:16" ht="15.75">
      <c r="A666">
        <v>660</v>
      </c>
      <c r="B666" s="109">
        <v>580592475</v>
      </c>
      <c r="C666" s="110" t="s">
        <v>612</v>
      </c>
      <c r="D666" s="154" t="s">
        <v>63</v>
      </c>
      <c r="E666" s="53">
        <v>53475</v>
      </c>
      <c r="F666" s="53">
        <v>26738</v>
      </c>
      <c r="G666" s="54">
        <f t="shared" si="44"/>
        <v>0.5000093501636279</v>
      </c>
      <c r="H666" s="62">
        <v>95140</v>
      </c>
      <c r="I666" s="63">
        <f t="shared" si="45"/>
        <v>37432.5</v>
      </c>
      <c r="J666" s="63">
        <f t="shared" si="46"/>
        <v>76112</v>
      </c>
      <c r="K666" s="172">
        <f t="shared" si="47"/>
        <v>37433</v>
      </c>
      <c r="L666" s="156"/>
      <c r="M666" s="173"/>
      <c r="N666" s="173"/>
      <c r="O666" s="190"/>
      <c r="P666" s="13"/>
    </row>
    <row r="667" spans="1:16" ht="15">
      <c r="A667" s="13">
        <v>661</v>
      </c>
      <c r="B667" s="151">
        <v>580592533</v>
      </c>
      <c r="C667" s="151" t="s">
        <v>767</v>
      </c>
      <c r="D667" s="155" t="s">
        <v>72</v>
      </c>
      <c r="E667" s="53">
        <v>8363</v>
      </c>
      <c r="F667" s="53">
        <v>4182</v>
      </c>
      <c r="G667" s="54">
        <f t="shared" si="44"/>
        <v>0.5000597871577185</v>
      </c>
      <c r="H667" s="62">
        <v>4943</v>
      </c>
      <c r="I667" s="63">
        <f t="shared" si="45"/>
        <v>5854.099999999999</v>
      </c>
      <c r="J667" s="63">
        <f t="shared" si="46"/>
        <v>3954.4</v>
      </c>
      <c r="K667" s="172">
        <f t="shared" si="47"/>
        <v>0</v>
      </c>
      <c r="L667" s="156"/>
      <c r="M667" s="173"/>
      <c r="N667" s="173"/>
      <c r="O667" s="190"/>
      <c r="P667" s="13"/>
    </row>
    <row r="668" spans="1:16" ht="15.75">
      <c r="A668">
        <v>662</v>
      </c>
      <c r="B668" s="110">
        <v>580593887</v>
      </c>
      <c r="C668" s="110" t="s">
        <v>313</v>
      </c>
      <c r="D668" s="110" t="s">
        <v>74</v>
      </c>
      <c r="E668" s="53">
        <v>42065.25</v>
      </c>
      <c r="F668" s="53">
        <v>21033</v>
      </c>
      <c r="G668" s="54">
        <f t="shared" si="44"/>
        <v>0.5000089147217716</v>
      </c>
      <c r="H668" s="62">
        <v>70719</v>
      </c>
      <c r="I668" s="63">
        <f t="shared" si="45"/>
        <v>29445.675</v>
      </c>
      <c r="J668" s="63">
        <f t="shared" si="46"/>
        <v>56575.200000000004</v>
      </c>
      <c r="K668" s="172">
        <f t="shared" si="47"/>
        <v>29446</v>
      </c>
      <c r="L668" s="156"/>
      <c r="M668" s="173"/>
      <c r="N668" s="173"/>
      <c r="O668" s="190"/>
      <c r="P668" s="13"/>
    </row>
    <row r="669" spans="1:16" ht="15">
      <c r="A669" s="13">
        <v>663</v>
      </c>
      <c r="B669" s="151">
        <v>580594000</v>
      </c>
      <c r="C669" s="151" t="s">
        <v>613</v>
      </c>
      <c r="D669" s="155" t="s">
        <v>60</v>
      </c>
      <c r="E669" s="53">
        <v>15167</v>
      </c>
      <c r="F669" s="53">
        <v>7584</v>
      </c>
      <c r="G669" s="54">
        <f t="shared" si="44"/>
        <v>0.5000329663084327</v>
      </c>
      <c r="H669" s="62">
        <v>43642</v>
      </c>
      <c r="I669" s="63">
        <f t="shared" si="45"/>
        <v>10616.9</v>
      </c>
      <c r="J669" s="63">
        <f t="shared" si="46"/>
        <v>34913.6</v>
      </c>
      <c r="K669" s="172">
        <f t="shared" si="47"/>
        <v>10617</v>
      </c>
      <c r="L669" s="156"/>
      <c r="M669" s="173"/>
      <c r="N669" s="173"/>
      <c r="O669" s="190"/>
      <c r="P669" s="13"/>
    </row>
    <row r="670" spans="1:16" ht="15.75">
      <c r="A670">
        <v>664</v>
      </c>
      <c r="B670" s="109">
        <v>580595031</v>
      </c>
      <c r="C670" s="110" t="s">
        <v>585</v>
      </c>
      <c r="D670" s="110" t="s">
        <v>60</v>
      </c>
      <c r="E670" s="53">
        <v>41984</v>
      </c>
      <c r="F670" s="53">
        <v>20992</v>
      </c>
      <c r="G670" s="54">
        <f t="shared" si="44"/>
        <v>0.5</v>
      </c>
      <c r="H670" s="62">
        <v>21297</v>
      </c>
      <c r="I670" s="63">
        <f t="shared" si="45"/>
        <v>29388.8</v>
      </c>
      <c r="J670" s="63">
        <f t="shared" si="46"/>
        <v>17037.600000000002</v>
      </c>
      <c r="K670" s="172">
        <f t="shared" si="47"/>
        <v>0</v>
      </c>
      <c r="L670" s="156"/>
      <c r="M670" s="173"/>
      <c r="N670" s="173"/>
      <c r="O670" s="190"/>
      <c r="P670" s="13"/>
    </row>
    <row r="671" spans="1:16" ht="15.75">
      <c r="A671" s="13">
        <v>665</v>
      </c>
      <c r="B671" s="109">
        <v>580595411</v>
      </c>
      <c r="C671" s="109" t="s">
        <v>655</v>
      </c>
      <c r="D671" s="110" t="s">
        <v>63</v>
      </c>
      <c r="E671" s="53">
        <v>42426.5</v>
      </c>
      <c r="F671" s="53">
        <v>21213</v>
      </c>
      <c r="G671" s="54">
        <f t="shared" si="44"/>
        <v>0.49999410745642464</v>
      </c>
      <c r="H671" s="62">
        <v>51498</v>
      </c>
      <c r="I671" s="63">
        <f t="shared" si="45"/>
        <v>29698.55</v>
      </c>
      <c r="J671" s="63">
        <f t="shared" si="46"/>
        <v>41198.4</v>
      </c>
      <c r="K671" s="172">
        <f t="shared" si="47"/>
        <v>29699</v>
      </c>
      <c r="L671" s="156"/>
      <c r="M671" s="173"/>
      <c r="N671" s="173"/>
      <c r="O671" s="190"/>
      <c r="P671" s="13"/>
    </row>
    <row r="672" spans="1:16" ht="15.75">
      <c r="A672">
        <v>666</v>
      </c>
      <c r="B672" s="61">
        <v>580597862</v>
      </c>
      <c r="C672" s="61" t="s">
        <v>554</v>
      </c>
      <c r="D672" s="61" t="s">
        <v>63</v>
      </c>
      <c r="E672" s="53">
        <v>26176</v>
      </c>
      <c r="F672" s="53">
        <v>13088</v>
      </c>
      <c r="G672" s="54">
        <f t="shared" si="44"/>
        <v>0.5</v>
      </c>
      <c r="H672" s="62">
        <v>27042</v>
      </c>
      <c r="I672" s="63">
        <f t="shared" si="45"/>
        <v>18323.199999999997</v>
      </c>
      <c r="J672" s="63">
        <f t="shared" si="46"/>
        <v>21633.600000000002</v>
      </c>
      <c r="K672" s="172">
        <f t="shared" si="47"/>
        <v>18323</v>
      </c>
      <c r="L672" s="156"/>
      <c r="M672" s="173"/>
      <c r="N672" s="173"/>
      <c r="O672" s="190"/>
      <c r="P672" s="13"/>
    </row>
    <row r="673" spans="1:16" ht="15.75">
      <c r="A673" s="13">
        <v>667</v>
      </c>
      <c r="B673" s="87">
        <v>580598183</v>
      </c>
      <c r="C673" s="61" t="s">
        <v>244</v>
      </c>
      <c r="D673" s="61" t="s">
        <v>68</v>
      </c>
      <c r="E673" s="53">
        <v>34354.75</v>
      </c>
      <c r="F673" s="53">
        <v>17177</v>
      </c>
      <c r="G673" s="54">
        <f t="shared" si="44"/>
        <v>0.49998908447885665</v>
      </c>
      <c r="H673" s="62">
        <v>80323</v>
      </c>
      <c r="I673" s="63">
        <f t="shared" si="45"/>
        <v>24048.324999999997</v>
      </c>
      <c r="J673" s="63">
        <f t="shared" si="46"/>
        <v>64258.4</v>
      </c>
      <c r="K673" s="172">
        <f t="shared" si="47"/>
        <v>24048</v>
      </c>
      <c r="L673" s="156"/>
      <c r="M673" s="173"/>
      <c r="N673" s="173"/>
      <c r="O673" s="190"/>
      <c r="P673" s="13"/>
    </row>
    <row r="674" spans="1:16" ht="15.75">
      <c r="A674">
        <v>668</v>
      </c>
      <c r="B674" s="60">
        <v>580598993</v>
      </c>
      <c r="C674" s="67" t="s">
        <v>484</v>
      </c>
      <c r="D674" s="67" t="s">
        <v>68</v>
      </c>
      <c r="E674" s="53">
        <v>41584.8</v>
      </c>
      <c r="F674" s="53">
        <v>16634</v>
      </c>
      <c r="G674" s="54">
        <f t="shared" si="44"/>
        <v>0.4000019237798426</v>
      </c>
      <c r="H674" s="62">
        <v>26080</v>
      </c>
      <c r="I674" s="63">
        <f t="shared" si="45"/>
        <v>29109.36</v>
      </c>
      <c r="J674" s="63">
        <f t="shared" si="46"/>
        <v>20864</v>
      </c>
      <c r="K674" s="172">
        <f t="shared" si="47"/>
        <v>20864</v>
      </c>
      <c r="L674" s="156"/>
      <c r="M674" s="173"/>
      <c r="N674" s="173"/>
      <c r="O674" s="190"/>
      <c r="P674" s="13"/>
    </row>
    <row r="675" spans="1:16" ht="15.75">
      <c r="A675" s="13">
        <v>669</v>
      </c>
      <c r="B675" s="60">
        <v>580599173</v>
      </c>
      <c r="C675" s="61" t="s">
        <v>485</v>
      </c>
      <c r="D675" s="61" t="s">
        <v>74</v>
      </c>
      <c r="E675" s="53">
        <v>306547.5</v>
      </c>
      <c r="F675" s="53">
        <v>153274</v>
      </c>
      <c r="G675" s="54">
        <f t="shared" si="44"/>
        <v>0.5000008155342973</v>
      </c>
      <c r="H675" s="62">
        <v>243296</v>
      </c>
      <c r="I675" s="63">
        <f t="shared" si="45"/>
        <v>214583.25</v>
      </c>
      <c r="J675" s="63">
        <f t="shared" si="46"/>
        <v>194636.80000000002</v>
      </c>
      <c r="K675" s="172">
        <f t="shared" si="47"/>
        <v>194637</v>
      </c>
      <c r="L675" s="156"/>
      <c r="M675" s="173"/>
      <c r="N675" s="173"/>
      <c r="O675" s="190"/>
      <c r="P675" s="13"/>
    </row>
    <row r="676" spans="1:16" ht="15">
      <c r="A676">
        <v>670</v>
      </c>
      <c r="B676" s="79">
        <v>580599660</v>
      </c>
      <c r="C676" s="16" t="s">
        <v>771</v>
      </c>
      <c r="D676" s="16" t="s">
        <v>72</v>
      </c>
      <c r="E676" s="53">
        <v>38064.75</v>
      </c>
      <c r="F676" s="53">
        <v>19032</v>
      </c>
      <c r="G676" s="54">
        <f t="shared" si="44"/>
        <v>0.49999014836561384</v>
      </c>
      <c r="H676" s="62">
        <v>36838</v>
      </c>
      <c r="I676" s="63">
        <f t="shared" si="45"/>
        <v>26645.324999999997</v>
      </c>
      <c r="J676" s="63">
        <f t="shared" si="46"/>
        <v>29470.4</v>
      </c>
      <c r="K676" s="172">
        <f t="shared" si="47"/>
        <v>26645</v>
      </c>
      <c r="L676" s="156"/>
      <c r="M676" s="173"/>
      <c r="N676" s="173"/>
      <c r="O676" s="190"/>
      <c r="P676" s="13"/>
    </row>
    <row r="677" spans="1:16" ht="15.75">
      <c r="A677" s="13">
        <v>671</v>
      </c>
      <c r="B677" s="60">
        <v>580600997</v>
      </c>
      <c r="C677" s="61" t="s">
        <v>314</v>
      </c>
      <c r="D677" s="65" t="s">
        <v>63</v>
      </c>
      <c r="E677" s="53">
        <v>15782.5</v>
      </c>
      <c r="F677" s="53">
        <v>7891</v>
      </c>
      <c r="G677" s="54">
        <f t="shared" si="44"/>
        <v>0.4999841596705211</v>
      </c>
      <c r="H677" s="62">
        <v>9094</v>
      </c>
      <c r="I677" s="63">
        <f t="shared" si="45"/>
        <v>11047.75</v>
      </c>
      <c r="J677" s="63">
        <f t="shared" si="46"/>
        <v>7275.200000000001</v>
      </c>
      <c r="K677" s="172">
        <f t="shared" si="47"/>
        <v>0</v>
      </c>
      <c r="L677" s="156"/>
      <c r="M677" s="173"/>
      <c r="N677" s="173"/>
      <c r="O677" s="190"/>
      <c r="P677" s="13"/>
    </row>
    <row r="678" spans="1:16" ht="15.75">
      <c r="A678">
        <v>672</v>
      </c>
      <c r="B678" s="61">
        <v>580601755</v>
      </c>
      <c r="C678" s="61" t="s">
        <v>245</v>
      </c>
      <c r="D678" s="61" t="s">
        <v>68</v>
      </c>
      <c r="E678" s="53">
        <v>25518.5</v>
      </c>
      <c r="F678" s="53">
        <v>12759</v>
      </c>
      <c r="G678" s="54">
        <f t="shared" si="44"/>
        <v>0.49999020318592396</v>
      </c>
      <c r="H678" s="62">
        <v>30184</v>
      </c>
      <c r="I678" s="63">
        <f t="shared" si="45"/>
        <v>17862.949999999997</v>
      </c>
      <c r="J678" s="63">
        <f t="shared" si="46"/>
        <v>24147.2</v>
      </c>
      <c r="K678" s="172">
        <f t="shared" si="47"/>
        <v>17863</v>
      </c>
      <c r="L678" s="156"/>
      <c r="M678" s="173"/>
      <c r="N678" s="173"/>
      <c r="O678" s="190"/>
      <c r="P678" s="13"/>
    </row>
    <row r="679" spans="1:16" ht="15.75">
      <c r="A679" s="13">
        <v>673</v>
      </c>
      <c r="B679" s="61">
        <v>580603207</v>
      </c>
      <c r="C679" s="61" t="s">
        <v>423</v>
      </c>
      <c r="D679" s="61" t="s">
        <v>68</v>
      </c>
      <c r="E679" s="53">
        <v>114992</v>
      </c>
      <c r="F679" s="53">
        <v>57496</v>
      </c>
      <c r="G679" s="54">
        <f t="shared" si="44"/>
        <v>0.5</v>
      </c>
      <c r="H679" s="77">
        <v>36733</v>
      </c>
      <c r="I679" s="63">
        <f t="shared" si="45"/>
        <v>80494.4</v>
      </c>
      <c r="J679" s="63">
        <f t="shared" si="46"/>
        <v>29386.4</v>
      </c>
      <c r="K679" s="172">
        <f t="shared" si="47"/>
        <v>0</v>
      </c>
      <c r="L679" s="156"/>
      <c r="M679" s="173"/>
      <c r="N679" s="173"/>
      <c r="O679" s="190"/>
      <c r="P679" s="13"/>
    </row>
    <row r="680" spans="1:16" ht="15.75">
      <c r="A680">
        <v>674</v>
      </c>
      <c r="B680" s="60">
        <v>580603454</v>
      </c>
      <c r="C680" s="61" t="s">
        <v>486</v>
      </c>
      <c r="D680" s="65" t="s">
        <v>63</v>
      </c>
      <c r="E680" s="53">
        <v>51779.5</v>
      </c>
      <c r="F680" s="53">
        <v>25890</v>
      </c>
      <c r="G680" s="54">
        <f t="shared" si="44"/>
        <v>0.5000048281655868</v>
      </c>
      <c r="H680" s="62">
        <v>60307</v>
      </c>
      <c r="I680" s="63">
        <f t="shared" si="45"/>
        <v>36245.649999999994</v>
      </c>
      <c r="J680" s="63">
        <f t="shared" si="46"/>
        <v>48245.600000000006</v>
      </c>
      <c r="K680" s="172">
        <f t="shared" si="47"/>
        <v>36246</v>
      </c>
      <c r="L680" s="156"/>
      <c r="M680" s="173"/>
      <c r="N680" s="173"/>
      <c r="O680" s="190"/>
      <c r="P680" s="13"/>
    </row>
    <row r="681" spans="1:16" ht="15.75">
      <c r="A681" s="13">
        <v>675</v>
      </c>
      <c r="B681" s="60">
        <v>580603892</v>
      </c>
      <c r="C681" s="61" t="s">
        <v>315</v>
      </c>
      <c r="D681" s="65" t="s">
        <v>63</v>
      </c>
      <c r="E681" s="183">
        <v>244207.25</v>
      </c>
      <c r="F681" s="183">
        <v>122104</v>
      </c>
      <c r="G681" s="186">
        <f t="shared" si="44"/>
        <v>0.5000015355809461</v>
      </c>
      <c r="H681" s="187">
        <v>206442</v>
      </c>
      <c r="I681" s="63">
        <f t="shared" si="45"/>
        <v>170945.07499999998</v>
      </c>
      <c r="J681" s="63">
        <f t="shared" si="46"/>
        <v>165153.6</v>
      </c>
      <c r="K681" s="174">
        <f t="shared" si="47"/>
        <v>165154</v>
      </c>
      <c r="L681" s="156"/>
      <c r="M681" s="173"/>
      <c r="N681" s="173"/>
      <c r="O681" s="190"/>
      <c r="P681" s="13"/>
    </row>
    <row r="682" spans="1:16" ht="15.75">
      <c r="A682">
        <v>676</v>
      </c>
      <c r="B682" s="60">
        <v>580605699</v>
      </c>
      <c r="C682" s="61" t="s">
        <v>424</v>
      </c>
      <c r="D682" s="65" t="s">
        <v>63</v>
      </c>
      <c r="E682" s="183">
        <v>219142.25</v>
      </c>
      <c r="F682" s="183">
        <v>109571</v>
      </c>
      <c r="G682" s="186">
        <f t="shared" si="44"/>
        <v>0.4999994295942476</v>
      </c>
      <c r="H682" s="187">
        <v>257682</v>
      </c>
      <c r="I682" s="63">
        <f t="shared" si="45"/>
        <v>153399.57499999998</v>
      </c>
      <c r="J682" s="63">
        <f t="shared" si="46"/>
        <v>206145.6</v>
      </c>
      <c r="K682" s="174">
        <f t="shared" si="47"/>
        <v>153400</v>
      </c>
      <c r="L682" s="156"/>
      <c r="M682" s="173"/>
      <c r="N682" s="173"/>
      <c r="O682" s="190"/>
      <c r="P682" s="13"/>
    </row>
    <row r="683" spans="1:16" ht="15">
      <c r="A683" s="13">
        <v>677</v>
      </c>
      <c r="B683" s="66">
        <v>580606549</v>
      </c>
      <c r="C683" s="66" t="s">
        <v>717</v>
      </c>
      <c r="D683" s="16" t="s">
        <v>72</v>
      </c>
      <c r="E683" s="183">
        <v>64836</v>
      </c>
      <c r="F683" s="183">
        <v>32092</v>
      </c>
      <c r="G683" s="186">
        <f t="shared" si="44"/>
        <v>0.4949719291751496</v>
      </c>
      <c r="H683" s="187">
        <v>23836</v>
      </c>
      <c r="I683" s="63">
        <f t="shared" si="45"/>
        <v>45385.2</v>
      </c>
      <c r="J683" s="63">
        <f t="shared" si="46"/>
        <v>19068.8</v>
      </c>
      <c r="K683" s="174">
        <f t="shared" si="47"/>
        <v>0</v>
      </c>
      <c r="L683" s="156"/>
      <c r="M683" s="173"/>
      <c r="N683" s="173"/>
      <c r="O683" s="190"/>
      <c r="P683" s="13"/>
    </row>
    <row r="684" spans="1:16" ht="30">
      <c r="A684">
        <v>678</v>
      </c>
      <c r="B684" s="60">
        <v>580606994</v>
      </c>
      <c r="C684" s="78" t="s">
        <v>746</v>
      </c>
      <c r="D684" s="65" t="s">
        <v>63</v>
      </c>
      <c r="E684" s="183">
        <v>21908.25</v>
      </c>
      <c r="F684" s="183">
        <v>10954</v>
      </c>
      <c r="G684" s="186">
        <f t="shared" si="44"/>
        <v>0.49999429438681775</v>
      </c>
      <c r="H684" s="187">
        <v>12918</v>
      </c>
      <c r="I684" s="63">
        <f t="shared" si="45"/>
        <v>15335.775</v>
      </c>
      <c r="J684" s="63">
        <f t="shared" si="46"/>
        <v>10334.400000000001</v>
      </c>
      <c r="K684" s="174">
        <f t="shared" si="47"/>
        <v>0</v>
      </c>
      <c r="L684" s="156"/>
      <c r="M684" s="173"/>
      <c r="N684" s="173"/>
      <c r="O684" s="190"/>
      <c r="P684" s="13"/>
    </row>
    <row r="685" spans="1:16" ht="15">
      <c r="A685" s="13">
        <v>679</v>
      </c>
      <c r="B685" s="92">
        <v>580607257</v>
      </c>
      <c r="C685" s="90" t="s">
        <v>555</v>
      </c>
      <c r="D685" s="90" t="s">
        <v>72</v>
      </c>
      <c r="E685" s="183">
        <v>74952.75</v>
      </c>
      <c r="F685" s="183">
        <v>37476</v>
      </c>
      <c r="G685" s="186">
        <f t="shared" si="44"/>
        <v>0.49999499684801424</v>
      </c>
      <c r="H685" s="187">
        <v>71135</v>
      </c>
      <c r="I685" s="63">
        <f t="shared" si="45"/>
        <v>52466.924999999996</v>
      </c>
      <c r="J685" s="63">
        <f t="shared" si="46"/>
        <v>56908</v>
      </c>
      <c r="K685" s="174">
        <f t="shared" si="47"/>
        <v>52467</v>
      </c>
      <c r="L685" s="156"/>
      <c r="M685" s="173"/>
      <c r="N685" s="173"/>
      <c r="O685" s="190"/>
      <c r="P685" s="13"/>
    </row>
    <row r="686" spans="1:16" ht="15.75">
      <c r="A686">
        <v>680</v>
      </c>
      <c r="B686" s="61">
        <v>580608164</v>
      </c>
      <c r="C686" s="61" t="s">
        <v>246</v>
      </c>
      <c r="D686" s="61" t="s">
        <v>68</v>
      </c>
      <c r="E686" s="183">
        <v>111515.25</v>
      </c>
      <c r="F686" s="183">
        <v>55758</v>
      </c>
      <c r="G686" s="186">
        <f t="shared" si="44"/>
        <v>0.5000033627687693</v>
      </c>
      <c r="H686" s="187">
        <v>149082</v>
      </c>
      <c r="I686" s="63">
        <f t="shared" si="45"/>
        <v>78060.67499999999</v>
      </c>
      <c r="J686" s="63">
        <f t="shared" si="46"/>
        <v>119265.6</v>
      </c>
      <c r="K686" s="174">
        <f t="shared" si="47"/>
        <v>78061</v>
      </c>
      <c r="L686" s="156"/>
      <c r="M686" s="173"/>
      <c r="N686" s="173"/>
      <c r="O686" s="190"/>
      <c r="P686" s="13"/>
    </row>
    <row r="687" spans="1:16" ht="15.75">
      <c r="A687" s="13">
        <v>681</v>
      </c>
      <c r="B687" s="67">
        <v>580608420</v>
      </c>
      <c r="C687" s="67" t="s">
        <v>556</v>
      </c>
      <c r="D687" s="67" t="s">
        <v>68</v>
      </c>
      <c r="E687" s="183">
        <v>21501</v>
      </c>
      <c r="F687" s="183">
        <v>5463</v>
      </c>
      <c r="G687" s="186">
        <f t="shared" si="44"/>
        <v>0.2540812055253244</v>
      </c>
      <c r="H687" s="187">
        <v>28812</v>
      </c>
      <c r="I687" s="63">
        <f t="shared" si="45"/>
        <v>15050.699999999999</v>
      </c>
      <c r="J687" s="63">
        <f t="shared" si="46"/>
        <v>23049.600000000002</v>
      </c>
      <c r="K687" s="174">
        <f t="shared" si="47"/>
        <v>15051</v>
      </c>
      <c r="L687" s="156"/>
      <c r="M687" s="173"/>
      <c r="N687" s="173"/>
      <c r="O687" s="190"/>
      <c r="P687" s="13"/>
    </row>
    <row r="688" spans="1:16" ht="15.75">
      <c r="A688">
        <v>682</v>
      </c>
      <c r="B688" s="60">
        <v>580608685</v>
      </c>
      <c r="C688" s="61" t="s">
        <v>316</v>
      </c>
      <c r="D688" s="61" t="s">
        <v>60</v>
      </c>
      <c r="E688" s="183">
        <v>120796</v>
      </c>
      <c r="F688" s="183">
        <v>60398</v>
      </c>
      <c r="G688" s="186">
        <f t="shared" si="44"/>
        <v>0.5</v>
      </c>
      <c r="H688" s="187">
        <v>144020</v>
      </c>
      <c r="I688" s="63">
        <f t="shared" si="45"/>
        <v>84557.2</v>
      </c>
      <c r="J688" s="63">
        <f t="shared" si="46"/>
        <v>115216</v>
      </c>
      <c r="K688" s="174">
        <f t="shared" si="47"/>
        <v>84557</v>
      </c>
      <c r="L688" s="156"/>
      <c r="M688" s="173"/>
      <c r="N688" s="173"/>
      <c r="O688" s="190"/>
      <c r="P688" s="13"/>
    </row>
    <row r="689" spans="1:16" ht="15.75">
      <c r="A689" s="13">
        <v>683</v>
      </c>
      <c r="B689" s="60">
        <v>580610079</v>
      </c>
      <c r="C689" s="61" t="s">
        <v>425</v>
      </c>
      <c r="D689" s="61" t="s">
        <v>60</v>
      </c>
      <c r="E689" s="183">
        <v>15869</v>
      </c>
      <c r="F689" s="183">
        <v>7935</v>
      </c>
      <c r="G689" s="186">
        <f t="shared" si="44"/>
        <v>0.5000315079715167</v>
      </c>
      <c r="H689" s="187">
        <v>141054</v>
      </c>
      <c r="I689" s="63">
        <f t="shared" si="45"/>
        <v>11108.3</v>
      </c>
      <c r="J689" s="63">
        <f t="shared" si="46"/>
        <v>112843.20000000001</v>
      </c>
      <c r="K689" s="174">
        <f t="shared" si="47"/>
        <v>11108</v>
      </c>
      <c r="L689" s="156"/>
      <c r="M689" s="173"/>
      <c r="N689" s="173"/>
      <c r="O689" s="190"/>
      <c r="P689" s="13"/>
    </row>
    <row r="690" spans="1:16" ht="15.75">
      <c r="A690">
        <v>684</v>
      </c>
      <c r="B690" s="95">
        <v>580611234</v>
      </c>
      <c r="C690" s="96" t="s">
        <v>616</v>
      </c>
      <c r="D690" s="96" t="s">
        <v>60</v>
      </c>
      <c r="E690" s="184">
        <v>22677.75</v>
      </c>
      <c r="F690" s="184">
        <v>11339</v>
      </c>
      <c r="G690" s="186">
        <f t="shared" si="44"/>
        <v>0.5000055120106712</v>
      </c>
      <c r="H690" s="188">
        <v>25640</v>
      </c>
      <c r="I690" s="63">
        <f t="shared" si="45"/>
        <v>15874.425</v>
      </c>
      <c r="J690" s="63">
        <f t="shared" si="46"/>
        <v>20512</v>
      </c>
      <c r="K690" s="174">
        <f t="shared" si="47"/>
        <v>15874</v>
      </c>
      <c r="L690" s="156"/>
      <c r="M690" s="173"/>
      <c r="N690" s="173"/>
      <c r="O690" s="190"/>
      <c r="P690" s="13"/>
    </row>
    <row r="691" spans="1:16" ht="15.75">
      <c r="A691" s="13">
        <v>685</v>
      </c>
      <c r="B691" s="60">
        <v>580612059</v>
      </c>
      <c r="C691" s="61" t="s">
        <v>247</v>
      </c>
      <c r="D691" s="65" t="s">
        <v>63</v>
      </c>
      <c r="E691" s="183">
        <v>65112.25</v>
      </c>
      <c r="F691" s="183">
        <v>32556</v>
      </c>
      <c r="G691" s="186">
        <f t="shared" si="44"/>
        <v>0.4999980802383576</v>
      </c>
      <c r="H691" s="187">
        <v>104916</v>
      </c>
      <c r="I691" s="63">
        <f t="shared" si="45"/>
        <v>45578.575</v>
      </c>
      <c r="J691" s="63">
        <f t="shared" si="46"/>
        <v>83932.8</v>
      </c>
      <c r="K691" s="174">
        <f t="shared" si="47"/>
        <v>45579</v>
      </c>
      <c r="L691" s="156"/>
      <c r="M691" s="173"/>
      <c r="N691" s="173"/>
      <c r="O691" s="190"/>
      <c r="P691" s="13"/>
    </row>
    <row r="692" spans="1:16" ht="15.75">
      <c r="A692">
        <v>686</v>
      </c>
      <c r="B692" s="61">
        <v>580613685</v>
      </c>
      <c r="C692" s="61" t="s">
        <v>248</v>
      </c>
      <c r="D692" s="61" t="s">
        <v>68</v>
      </c>
      <c r="E692" s="183">
        <v>27695</v>
      </c>
      <c r="F692" s="183">
        <v>13848</v>
      </c>
      <c r="G692" s="186">
        <f t="shared" si="44"/>
        <v>0.5000180538003249</v>
      </c>
      <c r="H692" s="187">
        <v>49229</v>
      </c>
      <c r="I692" s="63">
        <f t="shared" si="45"/>
        <v>19386.5</v>
      </c>
      <c r="J692" s="63">
        <f t="shared" si="46"/>
        <v>39383.200000000004</v>
      </c>
      <c r="K692" s="174">
        <f t="shared" si="47"/>
        <v>19387</v>
      </c>
      <c r="L692" s="156"/>
      <c r="M692" s="173"/>
      <c r="N692" s="173"/>
      <c r="O692" s="190"/>
      <c r="P692" s="13"/>
    </row>
    <row r="693" spans="1:16" ht="15.75">
      <c r="A693" s="13">
        <v>687</v>
      </c>
      <c r="B693" s="101">
        <v>580614386</v>
      </c>
      <c r="C693" s="103" t="s">
        <v>675</v>
      </c>
      <c r="D693" s="103" t="s">
        <v>68</v>
      </c>
      <c r="E693" s="183">
        <v>30084</v>
      </c>
      <c r="F693" s="183">
        <v>12034</v>
      </c>
      <c r="G693" s="186">
        <f t="shared" si="44"/>
        <v>0.40001329610424147</v>
      </c>
      <c r="H693" s="187">
        <v>45045</v>
      </c>
      <c r="I693" s="63">
        <f t="shared" si="45"/>
        <v>21058.8</v>
      </c>
      <c r="J693" s="63">
        <f t="shared" si="46"/>
        <v>36036</v>
      </c>
      <c r="K693" s="174">
        <f t="shared" si="47"/>
        <v>21059</v>
      </c>
      <c r="L693" s="156"/>
      <c r="M693" s="173"/>
      <c r="N693" s="173"/>
      <c r="O693" s="190"/>
      <c r="P693" s="13"/>
    </row>
    <row r="694" spans="1:16" ht="15.75">
      <c r="A694">
        <v>688</v>
      </c>
      <c r="B694" s="60">
        <v>580614907</v>
      </c>
      <c r="C694" s="60" t="s">
        <v>656</v>
      </c>
      <c r="D694" s="61" t="s">
        <v>60</v>
      </c>
      <c r="E694" s="183">
        <v>55390</v>
      </c>
      <c r="F694" s="183">
        <v>27695</v>
      </c>
      <c r="G694" s="186">
        <f t="shared" si="44"/>
        <v>0.5</v>
      </c>
      <c r="H694" s="187">
        <v>136688</v>
      </c>
      <c r="I694" s="63">
        <f t="shared" si="45"/>
        <v>38773</v>
      </c>
      <c r="J694" s="63">
        <f t="shared" si="46"/>
        <v>109350.40000000001</v>
      </c>
      <c r="K694" s="174">
        <f t="shared" si="47"/>
        <v>38773</v>
      </c>
      <c r="L694" s="156"/>
      <c r="M694" s="173"/>
      <c r="N694" s="173"/>
      <c r="O694" s="190"/>
      <c r="P694" s="13"/>
    </row>
    <row r="695" spans="1:16" ht="15.75">
      <c r="A695" s="13">
        <v>689</v>
      </c>
      <c r="B695" s="95">
        <v>580616860</v>
      </c>
      <c r="C695" s="96" t="s">
        <v>510</v>
      </c>
      <c r="D695" s="97" t="s">
        <v>63</v>
      </c>
      <c r="E695" s="184">
        <v>7163</v>
      </c>
      <c r="F695" s="184">
        <v>2865</v>
      </c>
      <c r="G695" s="186">
        <f t="shared" si="44"/>
        <v>0.399972078737959</v>
      </c>
      <c r="H695" s="188">
        <v>21800</v>
      </c>
      <c r="I695" s="63">
        <f t="shared" si="45"/>
        <v>5014.099999999999</v>
      </c>
      <c r="J695" s="63">
        <f t="shared" si="46"/>
        <v>17440</v>
      </c>
      <c r="K695" s="174">
        <f t="shared" si="47"/>
        <v>5014</v>
      </c>
      <c r="L695" s="156"/>
      <c r="M695" s="173"/>
      <c r="N695" s="173"/>
      <c r="O695" s="190"/>
      <c r="P695" s="13"/>
    </row>
    <row r="696" spans="1:16" ht="15.75">
      <c r="A696">
        <v>690</v>
      </c>
      <c r="B696" s="60">
        <v>580618122</v>
      </c>
      <c r="C696" s="61" t="s">
        <v>487</v>
      </c>
      <c r="D696" s="61" t="s">
        <v>68</v>
      </c>
      <c r="E696" s="183">
        <v>355721</v>
      </c>
      <c r="F696" s="183">
        <v>177861</v>
      </c>
      <c r="G696" s="186">
        <f t="shared" si="44"/>
        <v>0.5000014055959586</v>
      </c>
      <c r="H696" s="187">
        <v>427786</v>
      </c>
      <c r="I696" s="63">
        <f t="shared" si="45"/>
        <v>249004.69999999998</v>
      </c>
      <c r="J696" s="63">
        <f t="shared" si="46"/>
        <v>342228.80000000005</v>
      </c>
      <c r="K696" s="174">
        <f t="shared" si="47"/>
        <v>249005</v>
      </c>
      <c r="L696" s="156"/>
      <c r="M696" s="173"/>
      <c r="N696" s="173"/>
      <c r="O696" s="190"/>
      <c r="P696" s="13"/>
    </row>
    <row r="697" spans="1:16" ht="15.75">
      <c r="A697" s="13">
        <v>691</v>
      </c>
      <c r="B697" s="61">
        <v>580621910</v>
      </c>
      <c r="C697" s="61" t="s">
        <v>249</v>
      </c>
      <c r="D697" s="61" t="s">
        <v>74</v>
      </c>
      <c r="E697" s="183">
        <v>14873.5</v>
      </c>
      <c r="F697" s="183">
        <v>7437</v>
      </c>
      <c r="G697" s="186">
        <f t="shared" si="44"/>
        <v>0.5000168084176556</v>
      </c>
      <c r="H697" s="187">
        <v>23617</v>
      </c>
      <c r="I697" s="63">
        <f t="shared" si="45"/>
        <v>10411.449999999999</v>
      </c>
      <c r="J697" s="63">
        <f t="shared" si="46"/>
        <v>18893.600000000002</v>
      </c>
      <c r="K697" s="174">
        <f t="shared" si="47"/>
        <v>10411</v>
      </c>
      <c r="L697" s="156"/>
      <c r="M697" s="173"/>
      <c r="N697" s="173"/>
      <c r="O697" s="190"/>
      <c r="P697" s="13"/>
    </row>
    <row r="698" spans="1:16" ht="15.75">
      <c r="A698">
        <v>692</v>
      </c>
      <c r="B698" s="60">
        <v>580630234</v>
      </c>
      <c r="C698" s="61" t="s">
        <v>488</v>
      </c>
      <c r="D698" s="65" t="s">
        <v>63</v>
      </c>
      <c r="E698" s="183">
        <v>202850</v>
      </c>
      <c r="F698" s="183">
        <v>101425</v>
      </c>
      <c r="G698" s="186">
        <f t="shared" si="44"/>
        <v>0.5</v>
      </c>
      <c r="H698" s="187">
        <v>256792</v>
      </c>
      <c r="I698" s="63">
        <f t="shared" si="45"/>
        <v>141995</v>
      </c>
      <c r="J698" s="63">
        <f t="shared" si="46"/>
        <v>205433.6</v>
      </c>
      <c r="K698" s="174">
        <f t="shared" si="47"/>
        <v>141995</v>
      </c>
      <c r="L698" s="156"/>
      <c r="M698" s="173"/>
      <c r="N698" s="173"/>
      <c r="O698" s="190"/>
      <c r="P698" s="13"/>
    </row>
    <row r="699" spans="1:16" ht="15.75">
      <c r="A699" s="13">
        <v>693</v>
      </c>
      <c r="B699" s="60">
        <v>580630622</v>
      </c>
      <c r="C699" s="61" t="s">
        <v>250</v>
      </c>
      <c r="D699" s="65" t="s">
        <v>63</v>
      </c>
      <c r="E699" s="183">
        <v>95643.48343365756</v>
      </c>
      <c r="F699" s="183">
        <v>47822</v>
      </c>
      <c r="G699" s="186">
        <f t="shared" si="44"/>
        <v>0.5000027004785057</v>
      </c>
      <c r="H699" s="187">
        <v>111358</v>
      </c>
      <c r="I699" s="63">
        <f t="shared" si="45"/>
        <v>66950.43840356029</v>
      </c>
      <c r="J699" s="63">
        <f t="shared" si="46"/>
        <v>89086.40000000001</v>
      </c>
      <c r="K699" s="174">
        <f t="shared" si="47"/>
        <v>66950</v>
      </c>
      <c r="L699" s="156"/>
      <c r="M699" s="173"/>
      <c r="N699" s="173"/>
      <c r="O699" s="190"/>
      <c r="P699" s="13"/>
    </row>
    <row r="700" spans="1:16" ht="15.75">
      <c r="A700">
        <v>694</v>
      </c>
      <c r="B700" s="61">
        <v>580631513</v>
      </c>
      <c r="C700" s="61" t="s">
        <v>747</v>
      </c>
      <c r="D700" s="61" t="s">
        <v>74</v>
      </c>
      <c r="E700" s="183">
        <v>49713</v>
      </c>
      <c r="F700" s="183">
        <v>24857</v>
      </c>
      <c r="G700" s="186">
        <f t="shared" si="44"/>
        <v>0.5000100577313781</v>
      </c>
      <c r="H700" s="187">
        <v>72160</v>
      </c>
      <c r="I700" s="63">
        <f t="shared" si="45"/>
        <v>34799.1</v>
      </c>
      <c r="J700" s="63">
        <f t="shared" si="46"/>
        <v>57728</v>
      </c>
      <c r="K700" s="174">
        <f t="shared" si="47"/>
        <v>34799</v>
      </c>
      <c r="L700" s="156"/>
      <c r="M700" s="173"/>
      <c r="N700" s="173"/>
      <c r="O700" s="190"/>
      <c r="P700" s="13"/>
    </row>
    <row r="701" spans="1:16" ht="15.75">
      <c r="A701" s="13">
        <v>695</v>
      </c>
      <c r="B701" s="60">
        <v>580631802</v>
      </c>
      <c r="C701" s="66" t="s">
        <v>489</v>
      </c>
      <c r="D701" s="16" t="s">
        <v>60</v>
      </c>
      <c r="E701" s="183">
        <v>53576</v>
      </c>
      <c r="F701" s="183">
        <v>26788</v>
      </c>
      <c r="G701" s="186">
        <f t="shared" si="44"/>
        <v>0.5</v>
      </c>
      <c r="H701" s="187">
        <v>37156</v>
      </c>
      <c r="I701" s="63">
        <f t="shared" si="45"/>
        <v>37503.2</v>
      </c>
      <c r="J701" s="63">
        <f t="shared" si="46"/>
        <v>29724.800000000003</v>
      </c>
      <c r="K701" s="174">
        <f t="shared" si="47"/>
        <v>29725</v>
      </c>
      <c r="L701" s="156"/>
      <c r="M701" s="173"/>
      <c r="N701" s="173"/>
      <c r="O701" s="190"/>
      <c r="P701" s="13"/>
    </row>
    <row r="702" spans="1:16" ht="15">
      <c r="A702">
        <v>696</v>
      </c>
      <c r="B702" s="66">
        <v>580632107</v>
      </c>
      <c r="C702" s="66" t="s">
        <v>251</v>
      </c>
      <c r="D702" s="16" t="s">
        <v>68</v>
      </c>
      <c r="E702" s="183">
        <v>39301</v>
      </c>
      <c r="F702" s="183">
        <v>15720</v>
      </c>
      <c r="G702" s="186">
        <f t="shared" si="44"/>
        <v>0.39998982214193024</v>
      </c>
      <c r="H702" s="187">
        <v>54366</v>
      </c>
      <c r="I702" s="63">
        <f t="shared" si="45"/>
        <v>27510.699999999997</v>
      </c>
      <c r="J702" s="63">
        <f t="shared" si="46"/>
        <v>43492.8</v>
      </c>
      <c r="K702" s="174">
        <f t="shared" si="47"/>
        <v>27511</v>
      </c>
      <c r="L702" s="156"/>
      <c r="M702" s="173"/>
      <c r="N702" s="173"/>
      <c r="O702" s="190"/>
      <c r="P702" s="13"/>
    </row>
    <row r="703" spans="1:16" ht="15.75">
      <c r="A703" s="13">
        <v>697</v>
      </c>
      <c r="B703" s="60">
        <v>580632594</v>
      </c>
      <c r="C703" s="61" t="s">
        <v>426</v>
      </c>
      <c r="D703" s="65" t="s">
        <v>63</v>
      </c>
      <c r="E703" s="183">
        <v>86914.5</v>
      </c>
      <c r="F703" s="183">
        <v>43457</v>
      </c>
      <c r="G703" s="186">
        <f t="shared" si="44"/>
        <v>0.49999712360998455</v>
      </c>
      <c r="H703" s="187">
        <v>102996</v>
      </c>
      <c r="I703" s="63">
        <f t="shared" si="45"/>
        <v>60840.149999999994</v>
      </c>
      <c r="J703" s="63">
        <f t="shared" si="46"/>
        <v>82396.8</v>
      </c>
      <c r="K703" s="174">
        <f t="shared" si="47"/>
        <v>60840</v>
      </c>
      <c r="L703" s="156"/>
      <c r="M703" s="173"/>
      <c r="N703" s="173"/>
      <c r="O703" s="190"/>
      <c r="P703" s="13"/>
    </row>
    <row r="704" spans="1:16" ht="15">
      <c r="A704">
        <v>698</v>
      </c>
      <c r="B704" s="66">
        <v>580635027</v>
      </c>
      <c r="C704" s="66" t="s">
        <v>718</v>
      </c>
      <c r="D704" s="16" t="s">
        <v>68</v>
      </c>
      <c r="E704" s="183">
        <v>32261.25</v>
      </c>
      <c r="F704" s="183">
        <v>16131</v>
      </c>
      <c r="G704" s="186">
        <f t="shared" si="44"/>
        <v>0.5000116238521446</v>
      </c>
      <c r="H704" s="187">
        <v>71050</v>
      </c>
      <c r="I704" s="63">
        <f t="shared" si="45"/>
        <v>22582.875</v>
      </c>
      <c r="J704" s="63">
        <f t="shared" si="46"/>
        <v>56840</v>
      </c>
      <c r="K704" s="174">
        <f t="shared" si="47"/>
        <v>22583</v>
      </c>
      <c r="L704" s="156"/>
      <c r="M704" s="173"/>
      <c r="N704" s="173"/>
      <c r="O704" s="190"/>
      <c r="P704" s="13"/>
    </row>
    <row r="705" spans="1:16" ht="15.75">
      <c r="A705" s="13">
        <v>699</v>
      </c>
      <c r="B705" s="60">
        <v>580636264</v>
      </c>
      <c r="C705" s="60" t="s">
        <v>617</v>
      </c>
      <c r="D705" s="61" t="s">
        <v>68</v>
      </c>
      <c r="E705" s="183">
        <v>17736</v>
      </c>
      <c r="F705" s="183">
        <v>8868</v>
      </c>
      <c r="G705" s="186">
        <f aca="true" t="shared" si="48" ref="G705:G714">F705/E705</f>
        <v>0.5</v>
      </c>
      <c r="H705" s="187">
        <v>21220</v>
      </c>
      <c r="I705" s="63">
        <f t="shared" si="45"/>
        <v>12415.199999999999</v>
      </c>
      <c r="J705" s="63">
        <f t="shared" si="46"/>
        <v>16976</v>
      </c>
      <c r="K705" s="174">
        <f t="shared" si="47"/>
        <v>12415</v>
      </c>
      <c r="L705" s="156"/>
      <c r="M705" s="173"/>
      <c r="N705" s="173"/>
      <c r="O705" s="190"/>
      <c r="P705" s="13"/>
    </row>
    <row r="706" spans="1:16" ht="15.75">
      <c r="A706">
        <v>700</v>
      </c>
      <c r="B706" s="108">
        <v>580636819</v>
      </c>
      <c r="C706" s="61" t="s">
        <v>762</v>
      </c>
      <c r="D706" s="61" t="s">
        <v>68</v>
      </c>
      <c r="E706" s="183">
        <v>31916</v>
      </c>
      <c r="F706" s="183">
        <v>15958</v>
      </c>
      <c r="G706" s="186">
        <f t="shared" si="48"/>
        <v>0.5</v>
      </c>
      <c r="H706" s="187">
        <v>22453</v>
      </c>
      <c r="I706" s="63">
        <f t="shared" si="45"/>
        <v>22341.199999999997</v>
      </c>
      <c r="J706" s="63">
        <f t="shared" si="46"/>
        <v>17962.4</v>
      </c>
      <c r="K706" s="174">
        <f t="shared" si="47"/>
        <v>17962</v>
      </c>
      <c r="L706" s="156"/>
      <c r="M706" s="173"/>
      <c r="N706" s="173"/>
      <c r="O706" s="190"/>
      <c r="P706" s="13"/>
    </row>
    <row r="707" spans="1:16" ht="15">
      <c r="A707" s="13">
        <v>701</v>
      </c>
      <c r="B707" s="66">
        <v>580637601</v>
      </c>
      <c r="C707" s="66" t="s">
        <v>317</v>
      </c>
      <c r="D707" s="16" t="s">
        <v>60</v>
      </c>
      <c r="E707" s="183">
        <v>48871</v>
      </c>
      <c r="F707" s="183">
        <v>24436</v>
      </c>
      <c r="G707" s="186">
        <f t="shared" si="48"/>
        <v>0.5000102310163491</v>
      </c>
      <c r="H707" s="187">
        <v>57181</v>
      </c>
      <c r="I707" s="63">
        <f t="shared" si="45"/>
        <v>34209.7</v>
      </c>
      <c r="J707" s="63">
        <f t="shared" si="46"/>
        <v>45744.8</v>
      </c>
      <c r="K707" s="174">
        <f t="shared" si="47"/>
        <v>34210</v>
      </c>
      <c r="L707" s="156"/>
      <c r="M707" s="173"/>
      <c r="N707" s="173"/>
      <c r="O707" s="190"/>
      <c r="P707" s="13"/>
    </row>
    <row r="708" spans="1:16" ht="15.75">
      <c r="A708">
        <v>702</v>
      </c>
      <c r="B708" s="60">
        <v>580638096</v>
      </c>
      <c r="C708" s="61" t="s">
        <v>586</v>
      </c>
      <c r="D708" s="61" t="s">
        <v>60</v>
      </c>
      <c r="E708" s="183">
        <v>66922.4</v>
      </c>
      <c r="F708" s="183">
        <v>26769</v>
      </c>
      <c r="G708" s="186">
        <f t="shared" si="48"/>
        <v>0.40000059770719526</v>
      </c>
      <c r="H708" s="187">
        <v>83741</v>
      </c>
      <c r="I708" s="63">
        <f t="shared" si="45"/>
        <v>46845.67999999999</v>
      </c>
      <c r="J708" s="63">
        <f t="shared" si="46"/>
        <v>66992.8</v>
      </c>
      <c r="K708" s="174">
        <f t="shared" si="47"/>
        <v>46846</v>
      </c>
      <c r="L708" s="156"/>
      <c r="M708" s="173"/>
      <c r="N708" s="173"/>
      <c r="O708" s="190"/>
      <c r="P708" s="13"/>
    </row>
    <row r="709" spans="1:16" ht="15">
      <c r="A709" s="13">
        <v>703</v>
      </c>
      <c r="B709" s="66">
        <v>580641140</v>
      </c>
      <c r="C709" s="66" t="s">
        <v>318</v>
      </c>
      <c r="D709" s="16" t="s">
        <v>60</v>
      </c>
      <c r="E709" s="183">
        <v>17972</v>
      </c>
      <c r="F709" s="183">
        <v>8986</v>
      </c>
      <c r="G709" s="186">
        <f t="shared" si="48"/>
        <v>0.5</v>
      </c>
      <c r="H709" s="187">
        <v>21297</v>
      </c>
      <c r="I709" s="63">
        <f aca="true" t="shared" si="49" ref="I709:I715">E709*$I$2</f>
        <v>12580.4</v>
      </c>
      <c r="J709" s="63">
        <f aca="true" t="shared" si="50" ref="J709:J715">H709*$J$2</f>
        <v>17037.600000000002</v>
      </c>
      <c r="K709" s="174">
        <f aca="true" t="shared" si="51" ref="K709:K715">ROUND(IF(IF(MIN(I709,J709)&lt;F709,MIN(I709,J709)-F709,MIN(I709,J709))&lt;0,0,IF(MIN(I709,J709)&lt;F709,MIN(I709,J709)-F709,MIN(I709,J709))),0)</f>
        <v>12580</v>
      </c>
      <c r="L709" s="156"/>
      <c r="M709" s="173"/>
      <c r="N709" s="173"/>
      <c r="O709" s="190"/>
      <c r="P709" s="13"/>
    </row>
    <row r="710" spans="1:16" ht="15">
      <c r="A710">
        <v>704</v>
      </c>
      <c r="B710" s="66">
        <v>580642106</v>
      </c>
      <c r="C710" s="66" t="s">
        <v>252</v>
      </c>
      <c r="D710" s="16" t="s">
        <v>72</v>
      </c>
      <c r="E710" s="183">
        <v>67428</v>
      </c>
      <c r="F710" s="183">
        <v>33714</v>
      </c>
      <c r="G710" s="186">
        <f t="shared" si="48"/>
        <v>0.5</v>
      </c>
      <c r="H710" s="187">
        <v>64307</v>
      </c>
      <c r="I710" s="63">
        <f t="shared" si="49"/>
        <v>47199.6</v>
      </c>
      <c r="J710" s="63">
        <f t="shared" si="50"/>
        <v>51445.600000000006</v>
      </c>
      <c r="K710" s="174">
        <f t="shared" si="51"/>
        <v>47200</v>
      </c>
      <c r="L710" s="156"/>
      <c r="M710" s="173"/>
      <c r="N710" s="173"/>
      <c r="O710" s="190"/>
      <c r="P710" s="13"/>
    </row>
    <row r="711" spans="1:16" ht="15.75">
      <c r="A711" s="13">
        <v>705</v>
      </c>
      <c r="B711" s="60">
        <v>580645166</v>
      </c>
      <c r="C711" s="61" t="s">
        <v>490</v>
      </c>
      <c r="D711" s="65" t="s">
        <v>63</v>
      </c>
      <c r="E711" s="183">
        <v>95153</v>
      </c>
      <c r="F711" s="183">
        <v>47577</v>
      </c>
      <c r="G711" s="186">
        <f t="shared" si="48"/>
        <v>0.5000052546950701</v>
      </c>
      <c r="H711" s="187">
        <v>73198</v>
      </c>
      <c r="I711" s="63">
        <f t="shared" si="49"/>
        <v>66607.09999999999</v>
      </c>
      <c r="J711" s="63">
        <f t="shared" si="50"/>
        <v>58558.4</v>
      </c>
      <c r="K711" s="174">
        <f t="shared" si="51"/>
        <v>58558</v>
      </c>
      <c r="L711" s="156"/>
      <c r="M711" s="173"/>
      <c r="N711" s="173"/>
      <c r="O711" s="190"/>
      <c r="P711" s="13"/>
    </row>
    <row r="712" spans="1:16" ht="15.75">
      <c r="A712">
        <v>706</v>
      </c>
      <c r="B712" s="60">
        <v>580651925</v>
      </c>
      <c r="C712" s="60" t="s">
        <v>657</v>
      </c>
      <c r="D712" s="61" t="s">
        <v>60</v>
      </c>
      <c r="E712" s="183">
        <v>92845</v>
      </c>
      <c r="F712" s="183">
        <v>35462</v>
      </c>
      <c r="G712" s="186">
        <f t="shared" si="48"/>
        <v>0.3819484086380527</v>
      </c>
      <c r="H712" s="187">
        <v>47165</v>
      </c>
      <c r="I712" s="63">
        <f t="shared" si="49"/>
        <v>64991.49999999999</v>
      </c>
      <c r="J712" s="63">
        <f t="shared" si="50"/>
        <v>37732</v>
      </c>
      <c r="K712" s="174">
        <f t="shared" si="51"/>
        <v>37732</v>
      </c>
      <c r="L712" s="156"/>
      <c r="M712" s="173"/>
      <c r="N712" s="173"/>
      <c r="O712" s="190"/>
      <c r="P712" s="13"/>
    </row>
    <row r="713" spans="1:16" ht="15.75">
      <c r="A713" s="13">
        <v>707</v>
      </c>
      <c r="B713" s="60">
        <v>580654465</v>
      </c>
      <c r="C713" s="66" t="s">
        <v>492</v>
      </c>
      <c r="D713" s="16" t="s">
        <v>72</v>
      </c>
      <c r="E713" s="183">
        <v>53112.25</v>
      </c>
      <c r="F713" s="183">
        <v>26556</v>
      </c>
      <c r="G713" s="186">
        <f t="shared" si="48"/>
        <v>0.4999976464939821</v>
      </c>
      <c r="H713" s="187">
        <v>61247</v>
      </c>
      <c r="I713" s="63">
        <f t="shared" si="49"/>
        <v>37178.575</v>
      </c>
      <c r="J713" s="63">
        <f t="shared" si="50"/>
        <v>48997.600000000006</v>
      </c>
      <c r="K713" s="174">
        <f t="shared" si="51"/>
        <v>37179</v>
      </c>
      <c r="L713" s="156"/>
      <c r="M713" s="173"/>
      <c r="N713" s="173"/>
      <c r="O713" s="190"/>
      <c r="P713" s="13"/>
    </row>
    <row r="714" spans="1:16" ht="15.75">
      <c r="A714">
        <v>708</v>
      </c>
      <c r="B714" s="60">
        <v>580659456</v>
      </c>
      <c r="C714" s="61" t="s">
        <v>587</v>
      </c>
      <c r="D714" s="61" t="s">
        <v>63</v>
      </c>
      <c r="E714" s="183">
        <f>176775+268388</f>
        <v>445163</v>
      </c>
      <c r="F714" s="183">
        <v>70710</v>
      </c>
      <c r="G714" s="186">
        <f t="shared" si="48"/>
        <v>0.15884069430747838</v>
      </c>
      <c r="H714" s="187">
        <f>104742+216601</f>
        <v>321343</v>
      </c>
      <c r="I714" s="63">
        <f t="shared" si="49"/>
        <v>311614.1</v>
      </c>
      <c r="J714" s="63">
        <f t="shared" si="50"/>
        <v>257074.40000000002</v>
      </c>
      <c r="K714" s="174">
        <f t="shared" si="51"/>
        <v>257074</v>
      </c>
      <c r="L714" s="156"/>
      <c r="M714" s="173"/>
      <c r="N714" s="173"/>
      <c r="O714" s="190"/>
      <c r="P714" s="13"/>
    </row>
    <row r="715" spans="1:16" ht="15.75">
      <c r="A715">
        <v>736</v>
      </c>
      <c r="B715" s="176" t="s">
        <v>820</v>
      </c>
      <c r="C715" s="178" t="s">
        <v>821</v>
      </c>
      <c r="D715" s="1"/>
      <c r="E715" s="177"/>
      <c r="F715" s="177">
        <v>0</v>
      </c>
      <c r="G715" s="22">
        <f>_xlfn.IFERROR(F715/E715,"")</f>
      </c>
      <c r="H715" s="177">
        <v>96730</v>
      </c>
      <c r="I715" s="63">
        <f t="shared" si="49"/>
        <v>0</v>
      </c>
      <c r="J715" s="63">
        <f t="shared" si="50"/>
        <v>77384</v>
      </c>
      <c r="K715" s="174">
        <f t="shared" si="51"/>
        <v>0</v>
      </c>
      <c r="L715" s="156"/>
      <c r="M715" s="173"/>
      <c r="N715" s="173"/>
      <c r="O715" s="190"/>
      <c r="P715" s="13"/>
    </row>
    <row r="716" spans="1:14" ht="15.75">
      <c r="A716" s="13">
        <v>745</v>
      </c>
      <c r="B716" s="60"/>
      <c r="C716" s="61"/>
      <c r="D716" s="61"/>
      <c r="E716" s="53"/>
      <c r="F716" s="53"/>
      <c r="G716" s="54"/>
      <c r="H716" s="62"/>
      <c r="I716" s="63"/>
      <c r="J716" s="63"/>
      <c r="K716" s="172"/>
      <c r="L716" s="156"/>
      <c r="M716" s="173"/>
      <c r="N716" s="173"/>
    </row>
    <row r="717" spans="1:14" ht="15.75">
      <c r="A717">
        <v>746</v>
      </c>
      <c r="B717" s="60"/>
      <c r="C717" s="61"/>
      <c r="D717" s="61"/>
      <c r="E717" s="53"/>
      <c r="F717" s="53"/>
      <c r="G717" s="54"/>
      <c r="H717" s="62"/>
      <c r="I717" s="63"/>
      <c r="J717" s="63"/>
      <c r="K717" s="172"/>
      <c r="L717" s="156"/>
      <c r="M717" s="173"/>
      <c r="N717" s="173"/>
    </row>
    <row r="718" spans="1:14" ht="15.75">
      <c r="A718" s="13">
        <v>747</v>
      </c>
      <c r="B718" s="60"/>
      <c r="C718" s="61"/>
      <c r="D718" s="61"/>
      <c r="E718" s="53"/>
      <c r="F718" s="53"/>
      <c r="G718" s="54"/>
      <c r="H718" s="62"/>
      <c r="I718" s="63"/>
      <c r="J718" s="63"/>
      <c r="K718" s="172"/>
      <c r="L718" s="156"/>
      <c r="M718" s="173"/>
      <c r="N718" s="173"/>
    </row>
    <row r="719" spans="1:14" ht="15.75">
      <c r="A719">
        <v>748</v>
      </c>
      <c r="B719" s="60"/>
      <c r="C719" s="61"/>
      <c r="D719" s="61"/>
      <c r="E719" s="53"/>
      <c r="F719" s="53"/>
      <c r="G719" s="54"/>
      <c r="H719" s="62"/>
      <c r="I719" s="63"/>
      <c r="J719" s="63"/>
      <c r="K719" s="172"/>
      <c r="L719" s="156"/>
      <c r="M719" s="173"/>
      <c r="N719" s="173"/>
    </row>
    <row r="720" spans="1:14" ht="15.75">
      <c r="A720">
        <v>749</v>
      </c>
      <c r="B720" s="60"/>
      <c r="C720" s="61"/>
      <c r="D720" s="61"/>
      <c r="E720" s="53"/>
      <c r="F720" s="53"/>
      <c r="G720" s="54"/>
      <c r="H720" s="62"/>
      <c r="I720" s="63"/>
      <c r="J720" s="63"/>
      <c r="K720" s="172"/>
      <c r="L720" s="156"/>
      <c r="M720" s="173"/>
      <c r="N720" s="173"/>
    </row>
    <row r="721" spans="1:14" ht="15.75">
      <c r="A721" s="13">
        <v>750</v>
      </c>
      <c r="B721" s="60"/>
      <c r="C721" s="61"/>
      <c r="D721" s="61"/>
      <c r="E721" s="53"/>
      <c r="F721" s="53"/>
      <c r="G721" s="54"/>
      <c r="H721" s="62"/>
      <c r="I721" s="63"/>
      <c r="J721" s="63"/>
      <c r="K721" s="172"/>
      <c r="L721" s="156"/>
      <c r="M721" s="173"/>
      <c r="N721" s="173"/>
    </row>
    <row r="722" spans="1:14" ht="15.75">
      <c r="A722">
        <v>751</v>
      </c>
      <c r="B722" s="60"/>
      <c r="C722" s="61"/>
      <c r="D722" s="61"/>
      <c r="E722" s="53"/>
      <c r="F722" s="53"/>
      <c r="G722" s="54"/>
      <c r="H722" s="62"/>
      <c r="I722" s="63"/>
      <c r="J722" s="63"/>
      <c r="K722" s="172"/>
      <c r="L722" s="156"/>
      <c r="M722" s="173"/>
      <c r="N722" s="173"/>
    </row>
    <row r="723" spans="1:14" ht="15.75">
      <c r="A723">
        <v>752</v>
      </c>
      <c r="B723" s="60"/>
      <c r="C723" s="61"/>
      <c r="D723" s="61"/>
      <c r="E723" s="53"/>
      <c r="F723" s="53"/>
      <c r="G723" s="54"/>
      <c r="H723" s="62"/>
      <c r="I723" s="63"/>
      <c r="J723" s="63"/>
      <c r="K723" s="172"/>
      <c r="L723" s="156"/>
      <c r="M723" s="173"/>
      <c r="N723" s="173"/>
    </row>
    <row r="724" spans="1:14" ht="15.75">
      <c r="A724" s="13">
        <v>753</v>
      </c>
      <c r="B724" s="60"/>
      <c r="C724" s="61"/>
      <c r="D724" s="61"/>
      <c r="E724" s="53"/>
      <c r="F724" s="53"/>
      <c r="G724" s="54"/>
      <c r="H724" s="62"/>
      <c r="I724" s="63"/>
      <c r="J724" s="63"/>
      <c r="K724" s="172"/>
      <c r="L724" s="156"/>
      <c r="M724" s="173"/>
      <c r="N724" s="173"/>
    </row>
    <row r="725" spans="1:14" ht="15.75">
      <c r="A725">
        <v>754</v>
      </c>
      <c r="B725" s="60"/>
      <c r="C725" s="61"/>
      <c r="D725" s="61"/>
      <c r="E725" s="53"/>
      <c r="F725" s="53"/>
      <c r="G725" s="54"/>
      <c r="H725" s="62"/>
      <c r="I725" s="63"/>
      <c r="J725" s="63"/>
      <c r="K725" s="172"/>
      <c r="L725" s="156"/>
      <c r="M725" s="173"/>
      <c r="N725" s="173"/>
    </row>
    <row r="726" spans="1:14" ht="15.75">
      <c r="A726" s="13">
        <v>755</v>
      </c>
      <c r="B726" s="60"/>
      <c r="C726" s="61"/>
      <c r="D726" s="61"/>
      <c r="E726" s="53"/>
      <c r="F726" s="53"/>
      <c r="G726" s="54"/>
      <c r="H726" s="62"/>
      <c r="I726" s="63"/>
      <c r="J726" s="63"/>
      <c r="K726" s="172"/>
      <c r="L726" s="156"/>
      <c r="M726" s="173"/>
      <c r="N726" s="173"/>
    </row>
    <row r="727" spans="1:14" ht="15.75">
      <c r="A727">
        <v>756</v>
      </c>
      <c r="B727" s="60"/>
      <c r="C727" s="61"/>
      <c r="D727" s="61"/>
      <c r="E727" s="53"/>
      <c r="F727" s="53"/>
      <c r="G727" s="54"/>
      <c r="H727" s="62"/>
      <c r="I727" s="63"/>
      <c r="J727" s="63"/>
      <c r="K727" s="172"/>
      <c r="L727" s="156"/>
      <c r="M727" s="173"/>
      <c r="N727" s="173"/>
    </row>
    <row r="728" spans="1:14" ht="15.75">
      <c r="A728">
        <v>757</v>
      </c>
      <c r="B728" s="60"/>
      <c r="C728" s="61"/>
      <c r="D728" s="61"/>
      <c r="E728" s="53"/>
      <c r="F728" s="53"/>
      <c r="G728" s="54"/>
      <c r="H728" s="62"/>
      <c r="I728" s="63"/>
      <c r="J728" s="63"/>
      <c r="K728" s="172"/>
      <c r="L728" s="156"/>
      <c r="M728" s="173"/>
      <c r="N728" s="173"/>
    </row>
    <row r="729" spans="1:14" ht="15.75">
      <c r="A729" s="13">
        <v>758</v>
      </c>
      <c r="B729" s="60"/>
      <c r="C729" s="61"/>
      <c r="D729" s="61"/>
      <c r="E729" s="53"/>
      <c r="F729" s="53"/>
      <c r="G729" s="54"/>
      <c r="H729" s="62"/>
      <c r="I729" s="63"/>
      <c r="J729" s="63"/>
      <c r="K729" s="172"/>
      <c r="L729" s="156"/>
      <c r="M729" s="173"/>
      <c r="N729" s="173"/>
    </row>
    <row r="730" spans="1:14" ht="15.75">
      <c r="A730">
        <v>759</v>
      </c>
      <c r="B730" s="60"/>
      <c r="C730" s="61"/>
      <c r="D730" s="61"/>
      <c r="E730" s="53"/>
      <c r="F730" s="53"/>
      <c r="G730" s="54"/>
      <c r="H730" s="62"/>
      <c r="I730" s="63"/>
      <c r="J730" s="63"/>
      <c r="K730" s="172"/>
      <c r="L730" s="156"/>
      <c r="M730" s="173"/>
      <c r="N730" s="173"/>
    </row>
    <row r="731" spans="1:14" ht="15.75">
      <c r="A731">
        <v>760</v>
      </c>
      <c r="B731" s="60"/>
      <c r="C731" s="61"/>
      <c r="D731" s="61"/>
      <c r="E731" s="53"/>
      <c r="F731" s="53"/>
      <c r="G731" s="54"/>
      <c r="H731" s="62"/>
      <c r="I731" s="63"/>
      <c r="J731" s="63"/>
      <c r="K731" s="172"/>
      <c r="L731" s="156"/>
      <c r="M731" s="173"/>
      <c r="N731" s="173"/>
    </row>
    <row r="732" spans="1:11" ht="18">
      <c r="A732" s="13">
        <v>761</v>
      </c>
      <c r="B732" s="60"/>
      <c r="C732" s="61"/>
      <c r="D732" s="61"/>
      <c r="E732" s="53"/>
      <c r="F732" s="53"/>
      <c r="G732" s="54"/>
      <c r="H732" s="62"/>
      <c r="I732" s="63"/>
      <c r="J732" s="63"/>
      <c r="K732" s="64"/>
    </row>
    <row r="733" spans="4:11" ht="18">
      <c r="D733" s="13" t="s">
        <v>772</v>
      </c>
      <c r="E733" s="53"/>
      <c r="F733" s="53"/>
      <c r="G733" s="54"/>
      <c r="H733" s="62"/>
      <c r="I733" s="63"/>
      <c r="J733" s="63"/>
      <c r="K733" s="64"/>
    </row>
    <row r="734" spans="5:11" ht="18">
      <c r="E734" s="53"/>
      <c r="F734" s="53"/>
      <c r="G734" s="54"/>
      <c r="H734" s="62"/>
      <c r="I734" s="63"/>
      <c r="J734" s="63"/>
      <c r="K734" s="64"/>
    </row>
    <row r="735" spans="2:11" ht="18">
      <c r="B735" s="13">
        <v>1001315576</v>
      </c>
      <c r="D735" s="112" t="s">
        <v>773</v>
      </c>
      <c r="E735" s="53"/>
      <c r="F735" s="53"/>
      <c r="G735" s="54"/>
      <c r="H735" s="113" t="e">
        <f>SUM(H5:H734)</f>
        <v>#N/A</v>
      </c>
      <c r="I735" s="63"/>
      <c r="J735" s="64" t="s">
        <v>774</v>
      </c>
      <c r="K735" s="64">
        <f>COUNTIF($K$5:$K$680,J735)</f>
        <v>0</v>
      </c>
    </row>
    <row r="736" spans="2:11" ht="18">
      <c r="B736" s="13">
        <v>1001315577</v>
      </c>
      <c r="D736" s="112" t="s">
        <v>775</v>
      </c>
      <c r="E736" s="53"/>
      <c r="F736" s="53"/>
      <c r="G736" s="54"/>
      <c r="H736" s="62"/>
      <c r="I736" s="63"/>
      <c r="J736" s="114" t="s">
        <v>776</v>
      </c>
      <c r="K736" s="64">
        <f>COUNTIF($K$5:$K$680,"&lt;0")</f>
        <v>0</v>
      </c>
    </row>
    <row r="737" spans="4:11" ht="18">
      <c r="D737" s="111" t="s">
        <v>777</v>
      </c>
      <c r="E737" s="53"/>
      <c r="F737" s="53"/>
      <c r="G737" s="54"/>
      <c r="H737" s="62"/>
      <c r="I737" s="63"/>
      <c r="J737" s="63"/>
      <c r="K737" s="64"/>
    </row>
    <row r="738" spans="4:11" ht="18">
      <c r="D738" s="111" t="s">
        <v>778</v>
      </c>
      <c r="E738" s="53"/>
      <c r="F738" s="53"/>
      <c r="G738" s="54"/>
      <c r="H738" s="62"/>
      <c r="I738" s="63"/>
      <c r="J738" s="63"/>
      <c r="K738" s="64">
        <f>SUMIF(K5:K680,"&lt;0",K5:K680)</f>
        <v>0</v>
      </c>
    </row>
    <row r="739" spans="5:11" ht="18">
      <c r="E739" s="53"/>
      <c r="F739" s="53"/>
      <c r="G739" s="54"/>
      <c r="H739" s="62"/>
      <c r="I739" s="63"/>
      <c r="J739" s="63"/>
      <c r="K739" s="64"/>
    </row>
    <row r="740" spans="5:11" ht="18">
      <c r="E740" s="53"/>
      <c r="F740" s="53"/>
      <c r="G740" s="54"/>
      <c r="H740" s="62"/>
      <c r="I740" s="63"/>
      <c r="J740" s="63"/>
      <c r="K740" s="64"/>
    </row>
  </sheetData>
  <sheetProtection/>
  <conditionalFormatting sqref="B59">
    <cfRule type="duplicateValues" priority="13" dxfId="0">
      <formula>AND(COUNTIF($B$59:$B$59,B59)&gt;1,NOT(ISBLANK(B59)))</formula>
    </cfRule>
  </conditionalFormatting>
  <conditionalFormatting sqref="B119">
    <cfRule type="duplicateValues" priority="12" dxfId="0">
      <formula>AND(COUNTIF($B$119:$B$119,B119)&gt;1,NOT(ISBLANK(B119)))</formula>
    </cfRule>
  </conditionalFormatting>
  <conditionalFormatting sqref="B44">
    <cfRule type="duplicateValues" priority="11" dxfId="0">
      <formula>AND(COUNTIF($B$44:$B$44,B44)&gt;1,NOT(ISBLANK(B44)))</formula>
    </cfRule>
  </conditionalFormatting>
  <conditionalFormatting sqref="B498:B499">
    <cfRule type="duplicateValues" priority="10" dxfId="0">
      <formula>AND(COUNTIF($B$498:$B$499,B498)&gt;1,NOT(ISBLANK(B498)))</formula>
    </cfRule>
  </conditionalFormatting>
  <conditionalFormatting sqref="K5:K740">
    <cfRule type="cellIs" priority="8" dxfId="0" operator="lessThan">
      <formula>0</formula>
    </cfRule>
  </conditionalFormatting>
  <conditionalFormatting sqref="K5:K740">
    <cfRule type="containsText" priority="7" dxfId="3" operator="containsText" text="גוולעד">
      <formula>NOT(ISERROR(SEARCH("גוולעד",K5)))</formula>
    </cfRule>
  </conditionalFormatting>
  <conditionalFormatting sqref="B716:B731 B500:B680 B5:B497">
    <cfRule type="duplicateValues" priority="18" dxfId="0">
      <formula>AND(COUNTIF($B$716:$B$731,B5)+COUNTIF($B$500:$B$680,B5)+COUNTIF($B$5:$B$497,B5)&gt;1,NOT(ISBLANK(B5)))</formula>
    </cfRule>
  </conditionalFormatting>
  <conditionalFormatting sqref="J735">
    <cfRule type="cellIs" priority="6" dxfId="0" operator="lessThan">
      <formula>0</formula>
    </cfRule>
  </conditionalFormatting>
  <conditionalFormatting sqref="J735">
    <cfRule type="containsText" priority="5" dxfId="3" operator="containsText" text="גוולעד">
      <formula>NOT(ISERROR(SEARCH("גוולעד",J735)))</formula>
    </cfRule>
  </conditionalFormatting>
  <conditionalFormatting sqref="B681">
    <cfRule type="duplicateValues" priority="3" dxfId="0">
      <formula>AND(COUNTIF($B$681:$B$681,B681)&gt;1,NOT(ISBLANK(B681)))</formula>
    </cfRule>
  </conditionalFormatting>
  <conditionalFormatting sqref="B681">
    <cfRule type="duplicateValues" priority="4" dxfId="0">
      <formula>AND(COUNTIF($B$681:$B$681,B681)&gt;1,NOT(ISBLANK(B681)))</formula>
    </cfRule>
  </conditionalFormatting>
  <conditionalFormatting sqref="B120:B241 B45:B58 B5:B43 B60:B118">
    <cfRule type="duplicateValues" priority="83" dxfId="0">
      <formula>AND(COUNTIF($B$120:$B$241,B5)+COUNTIF($B$45:$B$58,B5)+COUNTIF($B$5:$B$43,B5)+COUNTIF($B$60:$B$118,B5)&gt;1,NOT(ISBLANK(B5)))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user0000</dc:creator>
  <cp:keywords/>
  <dc:description/>
  <cp:lastModifiedBy>אליצור ישראל</cp:lastModifiedBy>
  <cp:lastPrinted>2020-07-28T11:27:37Z</cp:lastPrinted>
  <dcterms:created xsi:type="dcterms:W3CDTF">2001-06-27T17:15:16Z</dcterms:created>
  <dcterms:modified xsi:type="dcterms:W3CDTF">2020-10-26T12:09:19Z</dcterms:modified>
  <cp:category/>
  <cp:version/>
  <cp:contentType/>
  <cp:contentStatus/>
</cp:coreProperties>
</file>